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https://archtoronto.sharepoint.com/sites/OfficeforRefugees/Shared Documents/Office for Refugees/003 MASTER DOCUMENTS/001 OUTREACH/"/>
    </mc:Choice>
  </mc:AlternateContent>
  <xr:revisionPtr revIDLastSave="0" documentId="8_{2E98494D-7F74-4F9B-A77F-779F5EC2CD71}" xr6:coauthVersionLast="47" xr6:coauthVersionMax="47" xr10:uidLastSave="{00000000-0000-0000-0000-000000000000}"/>
  <bookViews>
    <workbookView xWindow="-120" yWindow="-120" windowWidth="29040" windowHeight="15840" tabRatio="723" activeTab="1" xr2:uid="{00000000-000D-0000-FFFF-FFFF00000000}"/>
  </bookViews>
  <sheets>
    <sheet name="Instruction Guide" sheetId="11" r:id="rId1"/>
    <sheet name="User Input Sheet" sheetId="10" r:id="rId2"/>
    <sheet name="Financial Liabilities" sheetId="15" state="hidden" r:id="rId3"/>
    <sheet name="Arrived Family" sheetId="25" state="hidden" r:id="rId4"/>
    <sheet name="OYW" sheetId="27" state="hidden" r:id="rId5"/>
    <sheet name="Summary Report" sheetId="24" r:id="rId6"/>
    <sheet name="RAP Guidelines" sheetId="19" r:id="rId7"/>
    <sheet name="Budget" sheetId="1" r:id="rId8"/>
    <sheet name="Actuals" sheetId="8" r:id="rId9"/>
    <sheet name="Actual v Budget" sheetId="21" r:id="rId10"/>
    <sheet name="FY Projection" sheetId="22" state="hidden" r:id="rId11"/>
    <sheet name="Variance to RAP Guidelines" sheetId="23" state="hidden" r:id="rId12"/>
    <sheet name="Sheet1" sheetId="17" state="hidden" r:id="rId13"/>
    <sheet name="Variance to IRCC Guidelines " sheetId="5" state="hidden" r:id="rId14"/>
    <sheet name="RAP and Sponsporship Tables" sheetId="14" state="hidden" r:id="rId15"/>
    <sheet name="Sponsorship Table (2)" sheetId="16" state="hidden" r:id="rId16"/>
  </sheets>
  <externalReferences>
    <externalReference r:id="rId17"/>
  </externalReferences>
  <definedNames>
    <definedName name="OLE_LINK1" localSheetId="0">'Instruction Guide'!$P$22</definedName>
    <definedName name="_xlnm.Print_Area" localSheetId="9">'Actual v Budget'!$A$1:$R$68</definedName>
    <definedName name="_xlnm.Print_Area" localSheetId="8">Actuals!$A$1:$R$68</definedName>
    <definedName name="_xlnm.Print_Area" localSheetId="3">'Arrived Family'!$A$1:$H$64</definedName>
    <definedName name="_xlnm.Print_Area" localSheetId="7">Budget!$A$1:$R$68</definedName>
    <definedName name="_xlnm.Print_Area" localSheetId="10">'FY Projection'!$A$1:$R$68</definedName>
    <definedName name="_xlnm.Print_Area" localSheetId="0">'Instruction Guide'!$A$1:$U$65</definedName>
    <definedName name="_xlnm.Print_Area" localSheetId="4">OYW!$A$1:$H$64</definedName>
    <definedName name="_xlnm.Print_Area" localSheetId="6">'RAP Guidelines'!$A$1:$X$46</definedName>
    <definedName name="_xlnm.Print_Area" localSheetId="15">'Sponsorship Table (2)'!$A$1:$M$41</definedName>
    <definedName name="_xlnm.Print_Area" localSheetId="1">'User Input Sheet'!$A$1:$H$64</definedName>
    <definedName name="_xlnm.Print_Area" localSheetId="13">'Variance to IRCC Guidelines '!$A$1:$M$29</definedName>
    <definedName name="_xlnm.Print_Area" localSheetId="11">'Variance to RAP Guidelines'!$A$1:$N$29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0" l="1"/>
  <c r="M8" i="10" l="1"/>
  <c r="M9" i="10"/>
  <c r="M10" i="10"/>
  <c r="M11" i="10"/>
  <c r="M12" i="10"/>
  <c r="M13" i="10"/>
  <c r="M7" i="10"/>
  <c r="T24" i="19"/>
  <c r="T25" i="19"/>
  <c r="T26" i="19"/>
  <c r="T27" i="19"/>
  <c r="T28" i="19"/>
  <c r="T23" i="19"/>
  <c r="S24" i="19"/>
  <c r="S25" i="19"/>
  <c r="S26" i="19"/>
  <c r="S27" i="19"/>
  <c r="S28" i="19"/>
  <c r="S23" i="19"/>
  <c r="R24" i="19"/>
  <c r="R25" i="19"/>
  <c r="R26" i="19"/>
  <c r="R27" i="19"/>
  <c r="R28" i="19"/>
  <c r="R23" i="19"/>
  <c r="Q25" i="19"/>
  <c r="Q26" i="19"/>
  <c r="Q27" i="19"/>
  <c r="Q28" i="19"/>
  <c r="Q24" i="19"/>
  <c r="Q23" i="19"/>
  <c r="P25" i="19"/>
  <c r="P26" i="19"/>
  <c r="P27" i="19"/>
  <c r="P28" i="19"/>
  <c r="P24" i="19"/>
  <c r="P23" i="19"/>
  <c r="O23" i="19"/>
  <c r="T17" i="19"/>
  <c r="S10" i="19"/>
  <c r="S11" i="19" s="1"/>
  <c r="S12" i="19" s="1"/>
  <c r="R10" i="19"/>
  <c r="R11" i="19" s="1"/>
  <c r="R12" i="19" s="1"/>
  <c r="Q10" i="19"/>
  <c r="Q11" i="19" s="1"/>
  <c r="Q12" i="19" s="1"/>
  <c r="M17" i="10"/>
  <c r="C42" i="10" l="1"/>
  <c r="M14" i="10" l="1"/>
  <c r="M15" i="10"/>
  <c r="I32" i="19"/>
  <c r="I31" i="19"/>
  <c r="I30" i="19"/>
  <c r="I29" i="19"/>
  <c r="I28" i="19"/>
  <c r="I27" i="19"/>
  <c r="I26" i="19"/>
  <c r="I25" i="19"/>
  <c r="I24" i="19"/>
  <c r="H32" i="19"/>
  <c r="H31" i="19"/>
  <c r="H30" i="19"/>
  <c r="H29" i="19"/>
  <c r="H28" i="19"/>
  <c r="H27" i="19"/>
  <c r="H26" i="19"/>
  <c r="H25" i="19"/>
  <c r="H24" i="19"/>
  <c r="C9" i="19" l="1"/>
  <c r="C10" i="19"/>
  <c r="C11" i="19"/>
  <c r="C12" i="19"/>
  <c r="C13" i="19"/>
  <c r="C14" i="19"/>
  <c r="C15" i="19"/>
  <c r="C16" i="19"/>
  <c r="C8" i="19"/>
  <c r="H53" i="10" l="1"/>
  <c r="C25" i="10"/>
  <c r="M16" i="10"/>
  <c r="O8" i="10" l="1"/>
  <c r="C8" i="27" s="1"/>
  <c r="C17" i="25"/>
  <c r="C16" i="25"/>
  <c r="C15" i="25"/>
  <c r="C15" i="27"/>
  <c r="C14" i="27"/>
  <c r="H61" i="27" l="1"/>
  <c r="G54" i="27"/>
  <c r="G46" i="27"/>
  <c r="C44" i="27"/>
  <c r="C43" i="27"/>
  <c r="G38" i="27"/>
  <c r="G55" i="27" s="1"/>
  <c r="D25" i="27"/>
  <c r="F25" i="27" s="1"/>
  <c r="D24" i="27"/>
  <c r="C24" i="27"/>
  <c r="F52" i="27" s="1"/>
  <c r="H52" i="27" s="1"/>
  <c r="D23" i="27"/>
  <c r="C23" i="27"/>
  <c r="F51" i="27" s="1"/>
  <c r="H51" i="27" s="1"/>
  <c r="D22" i="27"/>
  <c r="C22" i="27"/>
  <c r="F50" i="27" s="1"/>
  <c r="H50" i="27" s="1"/>
  <c r="D21" i="27"/>
  <c r="F21" i="27" s="1"/>
  <c r="C21" i="27"/>
  <c r="F49" i="27" s="1"/>
  <c r="C17" i="27"/>
  <c r="C16" i="27"/>
  <c r="AA14" i="27"/>
  <c r="Z14" i="27"/>
  <c r="Y14" i="27"/>
  <c r="V14" i="27"/>
  <c r="U14" i="27"/>
  <c r="S14" i="27"/>
  <c r="R14" i="27"/>
  <c r="Q14" i="27"/>
  <c r="AB14" i="27"/>
  <c r="C6" i="27"/>
  <c r="C5" i="27"/>
  <c r="C4" i="27"/>
  <c r="N22" i="10"/>
  <c r="N23" i="10"/>
  <c r="N24" i="10"/>
  <c r="N21" i="10"/>
  <c r="C22" i="25"/>
  <c r="F50" i="25" s="1"/>
  <c r="H50" i="25" s="1"/>
  <c r="C23" i="25"/>
  <c r="F51" i="25" s="1"/>
  <c r="H51" i="25" s="1"/>
  <c r="C24" i="25"/>
  <c r="F52" i="25" s="1"/>
  <c r="H52" i="25" s="1"/>
  <c r="C21" i="25"/>
  <c r="F49" i="25" s="1"/>
  <c r="D25" i="25"/>
  <c r="F25" i="25" s="1"/>
  <c r="D24" i="25"/>
  <c r="D23" i="25"/>
  <c r="D22" i="25"/>
  <c r="D21" i="25"/>
  <c r="F21" i="25" s="1"/>
  <c r="C14" i="25"/>
  <c r="U14" i="25" s="1"/>
  <c r="C13" i="25"/>
  <c r="C12" i="25"/>
  <c r="D64" i="25" s="1"/>
  <c r="C11" i="25"/>
  <c r="C10" i="25"/>
  <c r="C9" i="25"/>
  <c r="C8" i="25"/>
  <c r="R14" i="25"/>
  <c r="W14" i="25"/>
  <c r="C7" i="25"/>
  <c r="C6" i="25"/>
  <c r="C5" i="25"/>
  <c r="C4" i="25"/>
  <c r="H61" i="25"/>
  <c r="G54" i="25"/>
  <c r="G46" i="25"/>
  <c r="C43" i="25"/>
  <c r="G38" i="25"/>
  <c r="X14" i="25"/>
  <c r="Q8" i="10"/>
  <c r="M25" i="10"/>
  <c r="C25" i="27" s="1"/>
  <c r="O15" i="10"/>
  <c r="O10" i="10"/>
  <c r="C10" i="27" s="1"/>
  <c r="O11" i="10"/>
  <c r="O12" i="10"/>
  <c r="C12" i="27" s="1"/>
  <c r="O13" i="10"/>
  <c r="O9" i="10"/>
  <c r="C9" i="27" s="1"/>
  <c r="O7" i="10"/>
  <c r="C7" i="27" s="1"/>
  <c r="G55" i="25" l="1"/>
  <c r="C31" i="27"/>
  <c r="H25" i="27"/>
  <c r="C25" i="25"/>
  <c r="G25" i="25" s="1"/>
  <c r="D9" i="25"/>
  <c r="E9" i="25"/>
  <c r="C41" i="25"/>
  <c r="D9" i="27"/>
  <c r="C35" i="27"/>
  <c r="Q7" i="10"/>
  <c r="C30" i="27"/>
  <c r="Q12" i="10"/>
  <c r="Q13" i="10"/>
  <c r="C13" i="27"/>
  <c r="C41" i="27" s="1"/>
  <c r="O25" i="10"/>
  <c r="C11" i="27"/>
  <c r="D11" i="27" s="1"/>
  <c r="Q11" i="10"/>
  <c r="G64" i="27"/>
  <c r="Q10" i="10"/>
  <c r="Q9" i="10"/>
  <c r="F54" i="27"/>
  <c r="H49" i="27"/>
  <c r="H54" i="27" s="1"/>
  <c r="D31" i="27"/>
  <c r="E9" i="27"/>
  <c r="W14" i="27"/>
  <c r="C34" i="27"/>
  <c r="D35" i="27"/>
  <c r="F9" i="27"/>
  <c r="X14" i="27"/>
  <c r="D30" i="27"/>
  <c r="D34" i="27"/>
  <c r="C33" i="27"/>
  <c r="D33" i="27"/>
  <c r="D44" i="27"/>
  <c r="E44" i="27" s="1"/>
  <c r="F44" i="27" s="1"/>
  <c r="G62" i="27"/>
  <c r="G63" i="27" s="1"/>
  <c r="D64" i="27"/>
  <c r="D7" i="27"/>
  <c r="C32" i="27"/>
  <c r="C36" i="27"/>
  <c r="D43" i="27"/>
  <c r="E43" i="27" s="1"/>
  <c r="F43" i="27" s="1"/>
  <c r="D8" i="27"/>
  <c r="T14" i="27"/>
  <c r="D32" i="27"/>
  <c r="D36" i="27"/>
  <c r="D42" i="27"/>
  <c r="E64" i="27"/>
  <c r="G25" i="27"/>
  <c r="D41" i="27"/>
  <c r="F64" i="27"/>
  <c r="D42" i="25"/>
  <c r="F9" i="25"/>
  <c r="C42" i="25"/>
  <c r="D12" i="25"/>
  <c r="C44" i="25"/>
  <c r="G62" i="25"/>
  <c r="G63" i="25" s="1"/>
  <c r="C34" i="25"/>
  <c r="F54" i="25"/>
  <c r="H49" i="25"/>
  <c r="H54" i="25" s="1"/>
  <c r="C30" i="25"/>
  <c r="C35" i="25"/>
  <c r="D43" i="25"/>
  <c r="E43" i="25" s="1"/>
  <c r="F43" i="25" s="1"/>
  <c r="I43" i="25" s="1"/>
  <c r="E64" i="25"/>
  <c r="D10" i="25"/>
  <c r="D30" i="25"/>
  <c r="D35" i="25"/>
  <c r="F64" i="25"/>
  <c r="D7" i="25"/>
  <c r="D11" i="25"/>
  <c r="C32" i="25"/>
  <c r="D31" i="25"/>
  <c r="D36" i="25"/>
  <c r="D44" i="25"/>
  <c r="G64" i="25"/>
  <c r="D32" i="25"/>
  <c r="D33" i="25"/>
  <c r="D41" i="25"/>
  <c r="D34" i="25"/>
  <c r="Y14" i="25"/>
  <c r="Z14" i="25"/>
  <c r="Q14" i="25"/>
  <c r="S14" i="25"/>
  <c r="AA14" i="25"/>
  <c r="T14" i="25"/>
  <c r="AB14" i="25"/>
  <c r="V14" i="25"/>
  <c r="C31" i="25"/>
  <c r="D8" i="25"/>
  <c r="C33" i="25"/>
  <c r="F13" i="19"/>
  <c r="F14" i="19"/>
  <c r="F15" i="19"/>
  <c r="F16" i="19"/>
  <c r="F12" i="19"/>
  <c r="E42" i="25" l="1"/>
  <c r="F42" i="25" s="1"/>
  <c r="I42" i="25" s="1"/>
  <c r="F31" i="25"/>
  <c r="J31" i="25" s="1"/>
  <c r="H43" i="25"/>
  <c r="I14" i="24" s="1"/>
  <c r="J43" i="25"/>
  <c r="F35" i="27"/>
  <c r="H35" i="27" s="1"/>
  <c r="E41" i="25"/>
  <c r="F41" i="25" s="1"/>
  <c r="J41" i="25" s="1"/>
  <c r="F31" i="27"/>
  <c r="I31" i="27" s="1"/>
  <c r="F34" i="25"/>
  <c r="H34" i="25" s="1"/>
  <c r="I24" i="24" s="1"/>
  <c r="C45" i="25"/>
  <c r="C46" i="25" s="1"/>
  <c r="C62" i="25" s="1"/>
  <c r="C37" i="25"/>
  <c r="F37" i="25" s="1"/>
  <c r="J37" i="25" s="1"/>
  <c r="H25" i="25"/>
  <c r="C42" i="27"/>
  <c r="E42" i="27" s="1"/>
  <c r="C37" i="27"/>
  <c r="F37" i="27" s="1"/>
  <c r="D12" i="27"/>
  <c r="D10" i="27"/>
  <c r="F33" i="27"/>
  <c r="H33" i="27" s="1"/>
  <c r="H43" i="27"/>
  <c r="J43" i="27"/>
  <c r="I43" i="27"/>
  <c r="H44" i="27"/>
  <c r="J44" i="27"/>
  <c r="I44" i="27"/>
  <c r="D38" i="27"/>
  <c r="E41" i="27"/>
  <c r="F36" i="27"/>
  <c r="F32" i="27"/>
  <c r="F34" i="27"/>
  <c r="F30" i="27"/>
  <c r="E44" i="25"/>
  <c r="F44" i="25" s="1"/>
  <c r="I44" i="25" s="1"/>
  <c r="F30" i="25"/>
  <c r="H30" i="25" s="1"/>
  <c r="I20" i="24" s="1"/>
  <c r="F33" i="25"/>
  <c r="H33" i="25" s="1"/>
  <c r="I23" i="24" s="1"/>
  <c r="F32" i="25"/>
  <c r="H32" i="25" s="1"/>
  <c r="I22" i="24" s="1"/>
  <c r="D38" i="25"/>
  <c r="F35" i="25"/>
  <c r="J35" i="25" s="1"/>
  <c r="G25" i="10"/>
  <c r="D45" i="25" l="1"/>
  <c r="D46" i="25" s="1"/>
  <c r="I37" i="25"/>
  <c r="H31" i="25"/>
  <c r="I21" i="24" s="1"/>
  <c r="I31" i="25"/>
  <c r="J35" i="27"/>
  <c r="H37" i="25"/>
  <c r="I27" i="24" s="1"/>
  <c r="H41" i="25"/>
  <c r="I12" i="24" s="1"/>
  <c r="I41" i="25"/>
  <c r="I35" i="27"/>
  <c r="J34" i="25"/>
  <c r="I34" i="25"/>
  <c r="I30" i="25"/>
  <c r="J31" i="27"/>
  <c r="H31" i="27"/>
  <c r="J33" i="27"/>
  <c r="I33" i="27"/>
  <c r="J30" i="25"/>
  <c r="C38" i="27"/>
  <c r="C45" i="27"/>
  <c r="D45" i="27" s="1"/>
  <c r="D46" i="27" s="1"/>
  <c r="F62" i="27" s="1"/>
  <c r="F63" i="27" s="1"/>
  <c r="J37" i="27"/>
  <c r="I37" i="27"/>
  <c r="H37" i="27"/>
  <c r="C63" i="25"/>
  <c r="H44" i="25"/>
  <c r="I15" i="24" s="1"/>
  <c r="J44" i="25"/>
  <c r="F42" i="27"/>
  <c r="J42" i="27" s="1"/>
  <c r="J36" i="27"/>
  <c r="I36" i="27"/>
  <c r="H36" i="27"/>
  <c r="J34" i="27"/>
  <c r="I34" i="27"/>
  <c r="H34" i="27"/>
  <c r="J30" i="27"/>
  <c r="I30" i="27"/>
  <c r="H30" i="27"/>
  <c r="F38" i="27"/>
  <c r="F41" i="27"/>
  <c r="J32" i="27"/>
  <c r="H32" i="27"/>
  <c r="I32" i="27"/>
  <c r="I35" i="25"/>
  <c r="J42" i="25"/>
  <c r="I33" i="25"/>
  <c r="J33" i="25"/>
  <c r="I32" i="25"/>
  <c r="H35" i="25"/>
  <c r="J32" i="25"/>
  <c r="H42" i="25"/>
  <c r="I13" i="24" s="1"/>
  <c r="H25" i="10"/>
  <c r="G6" i="24"/>
  <c r="C42" i="1"/>
  <c r="E45" i="25" l="1"/>
  <c r="F45" i="25" s="1"/>
  <c r="I45" i="25" s="1"/>
  <c r="D62" i="25"/>
  <c r="F62" i="25"/>
  <c r="F63" i="25" s="1"/>
  <c r="E62" i="25"/>
  <c r="E63" i="25" s="1"/>
  <c r="C46" i="27"/>
  <c r="C63" i="27" s="1"/>
  <c r="I25" i="24"/>
  <c r="I42" i="27"/>
  <c r="E62" i="27"/>
  <c r="E63" i="27" s="1"/>
  <c r="D62" i="27"/>
  <c r="D63" i="27" s="1"/>
  <c r="H42" i="27"/>
  <c r="E45" i="27"/>
  <c r="J38" i="27"/>
  <c r="I41" i="27"/>
  <c r="J41" i="27"/>
  <c r="H41" i="27"/>
  <c r="H38" i="27"/>
  <c r="G62" i="10"/>
  <c r="F46" i="25" l="1"/>
  <c r="E46" i="25"/>
  <c r="H45" i="25"/>
  <c r="I16" i="24" s="1"/>
  <c r="J45" i="25"/>
  <c r="J46" i="25" s="1"/>
  <c r="D63" i="25"/>
  <c r="H62" i="25"/>
  <c r="H63" i="25" s="1"/>
  <c r="C62" i="27"/>
  <c r="H62" i="27" s="1"/>
  <c r="H63" i="27" s="1"/>
  <c r="F45" i="27"/>
  <c r="E46" i="27"/>
  <c r="C42" i="8"/>
  <c r="H46" i="25" l="1"/>
  <c r="I17" i="24"/>
  <c r="H45" i="27"/>
  <c r="J45" i="27"/>
  <c r="J46" i="27" s="1"/>
  <c r="I45" i="27"/>
  <c r="F46" i="27"/>
  <c r="F55" i="27" s="1"/>
  <c r="D43" i="10"/>
  <c r="C43" i="10"/>
  <c r="D36" i="10"/>
  <c r="D35" i="10"/>
  <c r="D34" i="10"/>
  <c r="D33" i="10"/>
  <c r="D32" i="10"/>
  <c r="D31" i="10"/>
  <c r="D30" i="10"/>
  <c r="C35" i="10"/>
  <c r="C34" i="10"/>
  <c r="C33" i="10"/>
  <c r="C32" i="10"/>
  <c r="C31" i="10"/>
  <c r="C30" i="10"/>
  <c r="L30" i="19"/>
  <c r="L31" i="19"/>
  <c r="L32" i="19"/>
  <c r="K30" i="19"/>
  <c r="K31" i="19"/>
  <c r="K32" i="19"/>
  <c r="F30" i="19"/>
  <c r="F31" i="19"/>
  <c r="F32" i="19"/>
  <c r="D30" i="19"/>
  <c r="D31" i="19"/>
  <c r="D32" i="19"/>
  <c r="B30" i="19"/>
  <c r="B31" i="19"/>
  <c r="B32" i="19"/>
  <c r="U13" i="19"/>
  <c r="V13" i="19"/>
  <c r="V14" i="19" s="1"/>
  <c r="V15" i="19" s="1"/>
  <c r="V16" i="19" s="1"/>
  <c r="W13" i="19"/>
  <c r="O13" i="19"/>
  <c r="N13" i="19"/>
  <c r="M13" i="19"/>
  <c r="T29" i="19" s="1"/>
  <c r="H14" i="19"/>
  <c r="O30" i="19" s="1"/>
  <c r="H15" i="19"/>
  <c r="O31" i="19" s="1"/>
  <c r="H16" i="19"/>
  <c r="O32" i="19" s="1"/>
  <c r="G14" i="19"/>
  <c r="G15" i="19"/>
  <c r="G16" i="19"/>
  <c r="D13" i="19"/>
  <c r="D14" i="19"/>
  <c r="D15" i="19"/>
  <c r="D16" i="19"/>
  <c r="B13" i="19"/>
  <c r="B14" i="19"/>
  <c r="B15" i="19"/>
  <c r="B16" i="19"/>
  <c r="E16" i="19"/>
  <c r="E15" i="19"/>
  <c r="E14" i="19"/>
  <c r="W14" i="19" l="1"/>
  <c r="Q29" i="19"/>
  <c r="U14" i="19"/>
  <c r="P29" i="19"/>
  <c r="O14" i="19"/>
  <c r="S29" i="19"/>
  <c r="N14" i="19"/>
  <c r="R29" i="19"/>
  <c r="M14" i="19"/>
  <c r="T30" i="19" s="1"/>
  <c r="I44" i="24"/>
  <c r="I45" i="24"/>
  <c r="I43" i="24"/>
  <c r="H46" i="27"/>
  <c r="H55" i="27" s="1"/>
  <c r="G38" i="10"/>
  <c r="W15" i="19" l="1"/>
  <c r="Q30" i="19"/>
  <c r="U15" i="19"/>
  <c r="P30" i="19"/>
  <c r="O15" i="19"/>
  <c r="S30" i="19"/>
  <c r="N15" i="19"/>
  <c r="R30" i="19"/>
  <c r="M15" i="19"/>
  <c r="T31" i="19" s="1"/>
  <c r="F9" i="10"/>
  <c r="E9" i="10"/>
  <c r="D9" i="10"/>
  <c r="W16" i="19" l="1"/>
  <c r="Q32" i="19" s="1"/>
  <c r="Q31" i="19"/>
  <c r="U16" i="19"/>
  <c r="P32" i="19" s="1"/>
  <c r="P31" i="19"/>
  <c r="O16" i="19"/>
  <c r="S32" i="19" s="1"/>
  <c r="S31" i="19"/>
  <c r="N16" i="19"/>
  <c r="R32" i="19" s="1"/>
  <c r="R31" i="19"/>
  <c r="M16" i="19"/>
  <c r="T32" i="19" s="1"/>
  <c r="G8" i="24"/>
  <c r="C5" i="24"/>
  <c r="C4" i="24"/>
  <c r="C3" i="24"/>
  <c r="F35" i="24"/>
  <c r="E32" i="24"/>
  <c r="E33" i="24"/>
  <c r="E34" i="24"/>
  <c r="E31" i="24"/>
  <c r="D35" i="24"/>
  <c r="E13" i="24"/>
  <c r="E14" i="24"/>
  <c r="E15" i="24"/>
  <c r="E16" i="24"/>
  <c r="E12" i="24"/>
  <c r="E21" i="24"/>
  <c r="E22" i="24"/>
  <c r="E23" i="24"/>
  <c r="E24" i="24"/>
  <c r="E25" i="24"/>
  <c r="E26" i="24"/>
  <c r="E27" i="24"/>
  <c r="E20" i="24"/>
  <c r="B32" i="24"/>
  <c r="B33" i="24"/>
  <c r="B34" i="24"/>
  <c r="B35" i="24"/>
  <c r="B36" i="24"/>
  <c r="B31" i="24"/>
  <c r="A30" i="24"/>
  <c r="B13" i="24"/>
  <c r="B14" i="24"/>
  <c r="B15" i="24"/>
  <c r="B16" i="24"/>
  <c r="B17" i="24"/>
  <c r="B12" i="24"/>
  <c r="A11" i="24"/>
  <c r="B21" i="24"/>
  <c r="B22" i="24"/>
  <c r="B23" i="24"/>
  <c r="B24" i="24"/>
  <c r="B25" i="24"/>
  <c r="B26" i="24"/>
  <c r="B27" i="24"/>
  <c r="B28" i="24"/>
  <c r="B20" i="24"/>
  <c r="A19" i="24"/>
  <c r="C5" i="23" l="1"/>
  <c r="G7" i="24"/>
  <c r="C4" i="23" s="1"/>
  <c r="C37" i="10"/>
  <c r="F37" i="10" s="1"/>
  <c r="J37" i="10" l="1"/>
  <c r="I37" i="10"/>
  <c r="C20" i="1"/>
  <c r="D27" i="24" l="1"/>
  <c r="D11" i="10"/>
  <c r="H37" i="10" l="1"/>
  <c r="F27" i="24" s="1"/>
  <c r="K27" i="24" s="1"/>
  <c r="D12" i="10"/>
  <c r="C19" i="1" l="1"/>
  <c r="D10" i="10"/>
  <c r="D7" i="10"/>
  <c r="D38" i="10" l="1"/>
  <c r="F33" i="10"/>
  <c r="F30" i="10"/>
  <c r="F34" i="10"/>
  <c r="F31" i="10"/>
  <c r="F35" i="10"/>
  <c r="F32" i="10"/>
  <c r="C25" i="1"/>
  <c r="C22" i="1"/>
  <c r="C21" i="1"/>
  <c r="J31" i="10" l="1"/>
  <c r="I31" i="10"/>
  <c r="J34" i="10"/>
  <c r="I34" i="10"/>
  <c r="J32" i="10"/>
  <c r="I32" i="10"/>
  <c r="I30" i="10"/>
  <c r="J30" i="10"/>
  <c r="I35" i="10"/>
  <c r="J35" i="10"/>
  <c r="I33" i="10"/>
  <c r="J33" i="10"/>
  <c r="D24" i="24"/>
  <c r="D22" i="24"/>
  <c r="D20" i="24"/>
  <c r="D25" i="24"/>
  <c r="D23" i="24"/>
  <c r="D21" i="24"/>
  <c r="C13" i="1"/>
  <c r="D54" i="22" l="1"/>
  <c r="E54" i="22"/>
  <c r="F54" i="22"/>
  <c r="G54" i="22"/>
  <c r="H54" i="22"/>
  <c r="I54" i="22"/>
  <c r="J54" i="22"/>
  <c r="K54" i="22"/>
  <c r="L54" i="22"/>
  <c r="M54" i="22"/>
  <c r="N54" i="22"/>
  <c r="O54" i="22"/>
  <c r="C54" i="22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8"/>
  <c r="C54" i="21"/>
  <c r="P54" i="1"/>
  <c r="C28" i="23" s="1"/>
  <c r="F28" i="23" s="1"/>
  <c r="D27" i="8"/>
  <c r="D26" i="22" s="1"/>
  <c r="E27" i="8"/>
  <c r="E26" i="22" s="1"/>
  <c r="F27" i="8"/>
  <c r="F26" i="22" s="1"/>
  <c r="G27" i="8"/>
  <c r="G26" i="22" s="1"/>
  <c r="H27" i="8"/>
  <c r="H26" i="22" s="1"/>
  <c r="I27" i="8"/>
  <c r="J27" i="8"/>
  <c r="K27" i="8"/>
  <c r="L27" i="8"/>
  <c r="L26" i="22" s="1"/>
  <c r="M27" i="8"/>
  <c r="M26" i="22" s="1"/>
  <c r="N27" i="8"/>
  <c r="N26" i="22" s="1"/>
  <c r="O27" i="8"/>
  <c r="O26" i="22" s="1"/>
  <c r="D27" i="1"/>
  <c r="E27" i="1"/>
  <c r="F27" i="1"/>
  <c r="G27" i="1"/>
  <c r="H27" i="1"/>
  <c r="I27" i="1"/>
  <c r="J27" i="1"/>
  <c r="K27" i="1"/>
  <c r="L27" i="1"/>
  <c r="M27" i="1"/>
  <c r="N27" i="1"/>
  <c r="O27" i="1"/>
  <c r="C27" i="8"/>
  <c r="C26" i="22" s="1"/>
  <c r="C27" i="1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C38" i="1"/>
  <c r="D38" i="1"/>
  <c r="E38" i="1"/>
  <c r="F38" i="1"/>
  <c r="F38" i="21" s="1"/>
  <c r="G38" i="1"/>
  <c r="H38" i="1"/>
  <c r="I38" i="1"/>
  <c r="J38" i="1"/>
  <c r="K38" i="1"/>
  <c r="L38" i="1"/>
  <c r="M38" i="1"/>
  <c r="N38" i="1"/>
  <c r="N38" i="21" s="1"/>
  <c r="O38" i="1"/>
  <c r="B31" i="8"/>
  <c r="B32" i="8"/>
  <c r="B33" i="8"/>
  <c r="B34" i="8"/>
  <c r="B35" i="8"/>
  <c r="B36" i="8"/>
  <c r="B37" i="8"/>
  <c r="B38" i="8"/>
  <c r="B31" i="21"/>
  <c r="B32" i="21"/>
  <c r="B33" i="21"/>
  <c r="B34" i="21"/>
  <c r="B35" i="21"/>
  <c r="B36" i="21"/>
  <c r="B37" i="21"/>
  <c r="B38" i="21"/>
  <c r="B31" i="22"/>
  <c r="B32" i="22"/>
  <c r="B33" i="22"/>
  <c r="B34" i="22"/>
  <c r="B35" i="22"/>
  <c r="B36" i="22"/>
  <c r="B37" i="22"/>
  <c r="B38" i="22"/>
  <c r="B31" i="1"/>
  <c r="B32" i="1"/>
  <c r="B33" i="1"/>
  <c r="B34" i="1"/>
  <c r="B35" i="1"/>
  <c r="B36" i="1"/>
  <c r="B37" i="1"/>
  <c r="B38" i="1"/>
  <c r="B30" i="8"/>
  <c r="B30" i="21"/>
  <c r="B30" i="22"/>
  <c r="B30" i="1"/>
  <c r="P26" i="8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I26" i="22"/>
  <c r="J26" i="22"/>
  <c r="K26" i="22"/>
  <c r="P26" i="1"/>
  <c r="B19" i="8"/>
  <c r="B20" i="8"/>
  <c r="B21" i="8"/>
  <c r="B22" i="8"/>
  <c r="B23" i="8"/>
  <c r="B24" i="8"/>
  <c r="B25" i="8"/>
  <c r="B26" i="8"/>
  <c r="B19" i="21"/>
  <c r="B20" i="21"/>
  <c r="B21" i="21"/>
  <c r="B22" i="21"/>
  <c r="B23" i="21"/>
  <c r="B24" i="21"/>
  <c r="B25" i="21"/>
  <c r="B26" i="21"/>
  <c r="B19" i="22"/>
  <c r="B20" i="22"/>
  <c r="B21" i="22"/>
  <c r="B22" i="22"/>
  <c r="B23" i="22"/>
  <c r="B24" i="22"/>
  <c r="B25" i="22"/>
  <c r="B26" i="22"/>
  <c r="B19" i="1"/>
  <c r="B20" i="1"/>
  <c r="B21" i="1"/>
  <c r="B22" i="1"/>
  <c r="B23" i="1"/>
  <c r="B24" i="1"/>
  <c r="B25" i="1"/>
  <c r="B26" i="1"/>
  <c r="B18" i="8"/>
  <c r="B18" i="21"/>
  <c r="B18" i="22"/>
  <c r="B18" i="1"/>
  <c r="D15" i="8"/>
  <c r="D14" i="22" s="1"/>
  <c r="E15" i="8"/>
  <c r="E14" i="22" s="1"/>
  <c r="F15" i="8"/>
  <c r="F14" i="22" s="1"/>
  <c r="G15" i="8"/>
  <c r="G14" i="22" s="1"/>
  <c r="H15" i="8"/>
  <c r="I15" i="8"/>
  <c r="J15" i="8"/>
  <c r="J14" i="22" s="1"/>
  <c r="K15" i="8"/>
  <c r="K14" i="22" s="1"/>
  <c r="L15" i="8"/>
  <c r="L14" i="22" s="1"/>
  <c r="M15" i="8"/>
  <c r="M14" i="22" s="1"/>
  <c r="N15" i="8"/>
  <c r="O15" i="8"/>
  <c r="O14" i="22" s="1"/>
  <c r="C15" i="8"/>
  <c r="P14" i="8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C14" i="22"/>
  <c r="H14" i="22"/>
  <c r="I14" i="22"/>
  <c r="N14" i="22"/>
  <c r="P14" i="1"/>
  <c r="I38" i="21" l="1"/>
  <c r="P54" i="21"/>
  <c r="P54" i="22"/>
  <c r="D28" i="23" s="1"/>
  <c r="E28" i="23" s="1"/>
  <c r="G28" i="23" s="1"/>
  <c r="D38" i="21"/>
  <c r="J38" i="21"/>
  <c r="P38" i="1"/>
  <c r="P38" i="8"/>
  <c r="M38" i="21"/>
  <c r="E38" i="21"/>
  <c r="P26" i="21"/>
  <c r="H38" i="21"/>
  <c r="O38" i="21"/>
  <c r="K38" i="21"/>
  <c r="G38" i="21"/>
  <c r="C38" i="21"/>
  <c r="L38" i="21"/>
  <c r="P26" i="22"/>
  <c r="P14" i="21"/>
  <c r="P14" i="22"/>
  <c r="G64" i="10"/>
  <c r="F64" i="10"/>
  <c r="D64" i="10"/>
  <c r="E64" i="10"/>
  <c r="C1" i="22"/>
  <c r="C1" i="21"/>
  <c r="C1" i="8"/>
  <c r="C1" i="1"/>
  <c r="R7" i="8"/>
  <c r="R8" i="8"/>
  <c r="R9" i="8"/>
  <c r="R10" i="8"/>
  <c r="R11" i="8"/>
  <c r="R12" i="8"/>
  <c r="R13" i="8"/>
  <c r="R15" i="8"/>
  <c r="R16" i="8"/>
  <c r="R17" i="8"/>
  <c r="R18" i="8"/>
  <c r="R19" i="8"/>
  <c r="R20" i="8"/>
  <c r="R21" i="8"/>
  <c r="R22" i="8"/>
  <c r="R23" i="8"/>
  <c r="R24" i="8"/>
  <c r="R25" i="8"/>
  <c r="R27" i="8"/>
  <c r="R28" i="8"/>
  <c r="R29" i="8"/>
  <c r="R30" i="8"/>
  <c r="R31" i="8"/>
  <c r="R32" i="8"/>
  <c r="R33" i="8"/>
  <c r="R34" i="8"/>
  <c r="R35" i="8"/>
  <c r="R36" i="8"/>
  <c r="R37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J29" i="19"/>
  <c r="J30" i="19" s="1"/>
  <c r="J31" i="19" s="1"/>
  <c r="J32" i="19" s="1"/>
  <c r="L29" i="19"/>
  <c r="L28" i="19"/>
  <c r="L27" i="19"/>
  <c r="L26" i="19"/>
  <c r="L25" i="19"/>
  <c r="L24" i="19"/>
  <c r="K25" i="19"/>
  <c r="K26" i="19"/>
  <c r="K27" i="19"/>
  <c r="K28" i="19"/>
  <c r="K29" i="19"/>
  <c r="K24" i="19"/>
  <c r="B29" i="19"/>
  <c r="D29" i="19"/>
  <c r="F29" i="19"/>
  <c r="F28" i="19"/>
  <c r="F27" i="19"/>
  <c r="F26" i="19"/>
  <c r="F25" i="19"/>
  <c r="D26" i="19"/>
  <c r="D27" i="19"/>
  <c r="D28" i="19"/>
  <c r="D25" i="19"/>
  <c r="B25" i="19"/>
  <c r="B26" i="19"/>
  <c r="B27" i="19"/>
  <c r="B28" i="19"/>
  <c r="B24" i="19"/>
  <c r="D10" i="19"/>
  <c r="D11" i="19"/>
  <c r="D12" i="19"/>
  <c r="D9" i="19"/>
  <c r="B10" i="19"/>
  <c r="B11" i="19"/>
  <c r="B12" i="19"/>
  <c r="B9" i="19"/>
  <c r="P9" i="19"/>
  <c r="T9" i="19" s="1"/>
  <c r="P10" i="19"/>
  <c r="T10" i="19" s="1"/>
  <c r="P11" i="19"/>
  <c r="T11" i="19" s="1"/>
  <c r="P12" i="19"/>
  <c r="P8" i="19"/>
  <c r="T8" i="19" s="1"/>
  <c r="H9" i="19"/>
  <c r="O25" i="19" s="1"/>
  <c r="H10" i="19"/>
  <c r="O26" i="19" s="1"/>
  <c r="H11" i="19"/>
  <c r="O27" i="19" s="1"/>
  <c r="H12" i="19"/>
  <c r="O28" i="19" s="1"/>
  <c r="H13" i="19"/>
  <c r="O29" i="19" s="1"/>
  <c r="G9" i="19"/>
  <c r="G10" i="19"/>
  <c r="G11" i="19"/>
  <c r="G12" i="19"/>
  <c r="G13" i="19"/>
  <c r="G8" i="19"/>
  <c r="H8" i="19"/>
  <c r="O24" i="19" s="1"/>
  <c r="E13" i="19"/>
  <c r="D8" i="10"/>
  <c r="P13" i="19" l="1"/>
  <c r="T12" i="19"/>
  <c r="C36" i="25"/>
  <c r="C36" i="10"/>
  <c r="P14" i="19"/>
  <c r="P38" i="21"/>
  <c r="X13" i="19"/>
  <c r="C17" i="23"/>
  <c r="E17" i="23" s="1"/>
  <c r="F36" i="25" l="1"/>
  <c r="C38" i="25"/>
  <c r="P15" i="19"/>
  <c r="X14" i="19"/>
  <c r="C38" i="10"/>
  <c r="F36" i="10"/>
  <c r="M6" i="23"/>
  <c r="C19" i="23"/>
  <c r="E19" i="23" s="1"/>
  <c r="C18" i="23"/>
  <c r="E18" i="23" s="1"/>
  <c r="D17" i="23"/>
  <c r="G17" i="23" s="1"/>
  <c r="I6" i="23"/>
  <c r="K6" i="23"/>
  <c r="I36" i="25" l="1"/>
  <c r="H36" i="25"/>
  <c r="F38" i="25"/>
  <c r="F55" i="25" s="1"/>
  <c r="J36" i="25"/>
  <c r="J38" i="25" s="1"/>
  <c r="J36" i="10"/>
  <c r="J38" i="10" s="1"/>
  <c r="I36" i="10"/>
  <c r="P16" i="19"/>
  <c r="X15" i="19"/>
  <c r="D26" i="24"/>
  <c r="F38" i="10"/>
  <c r="D28" i="24" s="1"/>
  <c r="D18" i="23"/>
  <c r="G18" i="23" s="1"/>
  <c r="D19" i="23"/>
  <c r="G19" i="23" s="1"/>
  <c r="I26" i="24" l="1"/>
  <c r="I28" i="24" s="1"/>
  <c r="I42" i="24" s="1"/>
  <c r="I47" i="24" s="1"/>
  <c r="H38" i="25"/>
  <c r="H55" i="25" s="1"/>
  <c r="X16" i="19"/>
  <c r="D52" i="22"/>
  <c r="E52" i="22"/>
  <c r="F52" i="22"/>
  <c r="G52" i="22"/>
  <c r="H52" i="22"/>
  <c r="I52" i="22"/>
  <c r="J52" i="22"/>
  <c r="K52" i="22"/>
  <c r="L52" i="22"/>
  <c r="M52" i="22"/>
  <c r="N52" i="22"/>
  <c r="O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C53" i="22"/>
  <c r="C52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E46" i="22"/>
  <c r="F46" i="22"/>
  <c r="G46" i="22"/>
  <c r="H46" i="22"/>
  <c r="I46" i="22"/>
  <c r="J46" i="22"/>
  <c r="K46" i="22"/>
  <c r="L46" i="22"/>
  <c r="M46" i="22"/>
  <c r="N46" i="22"/>
  <c r="O46" i="22"/>
  <c r="C46" i="22"/>
  <c r="C45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D4" i="22"/>
  <c r="D58" i="21"/>
  <c r="E58" i="21"/>
  <c r="F58" i="21"/>
  <c r="G58" i="21"/>
  <c r="H58" i="21"/>
  <c r="I58" i="21"/>
  <c r="J58" i="21"/>
  <c r="K58" i="21"/>
  <c r="L58" i="21"/>
  <c r="M58" i="21"/>
  <c r="N58" i="21"/>
  <c r="O58" i="21"/>
  <c r="D59" i="21"/>
  <c r="E59" i="21"/>
  <c r="F59" i="21"/>
  <c r="G59" i="21"/>
  <c r="G66" i="21" s="1"/>
  <c r="H59" i="21"/>
  <c r="I59" i="21"/>
  <c r="J59" i="21"/>
  <c r="K59" i="21"/>
  <c r="L59" i="21"/>
  <c r="M59" i="21"/>
  <c r="N59" i="21"/>
  <c r="O59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C59" i="21"/>
  <c r="C60" i="21"/>
  <c r="C61" i="21"/>
  <c r="C62" i="21"/>
  <c r="C63" i="21"/>
  <c r="C64" i="21"/>
  <c r="C65" i="21"/>
  <c r="C58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C53" i="21"/>
  <c r="C52" i="21"/>
  <c r="O46" i="21"/>
  <c r="N46" i="21"/>
  <c r="M46" i="21"/>
  <c r="L46" i="21"/>
  <c r="K46" i="21"/>
  <c r="J46" i="21"/>
  <c r="I46" i="21"/>
  <c r="H46" i="21"/>
  <c r="G46" i="21"/>
  <c r="F46" i="21"/>
  <c r="E46" i="21"/>
  <c r="C46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D43" i="21"/>
  <c r="E43" i="21"/>
  <c r="F43" i="21"/>
  <c r="G43" i="21"/>
  <c r="H43" i="21"/>
  <c r="I43" i="21"/>
  <c r="J43" i="21"/>
  <c r="K43" i="21"/>
  <c r="K47" i="21" s="1"/>
  <c r="L43" i="21"/>
  <c r="M43" i="21"/>
  <c r="N43" i="21"/>
  <c r="O43" i="21"/>
  <c r="O47" i="21" s="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D7" i="21"/>
  <c r="E7" i="21"/>
  <c r="F7" i="21"/>
  <c r="G7" i="21"/>
  <c r="H7" i="21"/>
  <c r="I7" i="21"/>
  <c r="J7" i="21"/>
  <c r="K7" i="21"/>
  <c r="L7" i="21"/>
  <c r="M7" i="21"/>
  <c r="N7" i="21"/>
  <c r="O7" i="21"/>
  <c r="D8" i="21"/>
  <c r="E8" i="21"/>
  <c r="F8" i="21"/>
  <c r="G8" i="21"/>
  <c r="H8" i="21"/>
  <c r="I8" i="21"/>
  <c r="J8" i="21"/>
  <c r="K8" i="21"/>
  <c r="L8" i="21"/>
  <c r="M8" i="21"/>
  <c r="N8" i="21"/>
  <c r="O8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C11" i="21"/>
  <c r="C12" i="21"/>
  <c r="C6" i="21"/>
  <c r="D4" i="21"/>
  <c r="O66" i="8"/>
  <c r="O60" i="22" s="1"/>
  <c r="N66" i="8"/>
  <c r="M66" i="8"/>
  <c r="M58" i="22" s="1"/>
  <c r="L66" i="8"/>
  <c r="L58" i="22" s="1"/>
  <c r="K66" i="8"/>
  <c r="K59" i="22" s="1"/>
  <c r="J66" i="8"/>
  <c r="I66" i="8"/>
  <c r="I58" i="22" s="1"/>
  <c r="H66" i="8"/>
  <c r="H58" i="22" s="1"/>
  <c r="G66" i="8"/>
  <c r="G58" i="22" s="1"/>
  <c r="F66" i="8"/>
  <c r="E66" i="8"/>
  <c r="E58" i="22" s="1"/>
  <c r="D66" i="8"/>
  <c r="D58" i="22" s="1"/>
  <c r="C66" i="8"/>
  <c r="C59" i="22" s="1"/>
  <c r="P65" i="8"/>
  <c r="P64" i="8"/>
  <c r="P63" i="8"/>
  <c r="P62" i="8"/>
  <c r="P61" i="8"/>
  <c r="P60" i="8"/>
  <c r="P59" i="8"/>
  <c r="P58" i="8"/>
  <c r="P53" i="8"/>
  <c r="P52" i="8"/>
  <c r="R6" i="8"/>
  <c r="E47" i="8"/>
  <c r="F47" i="8"/>
  <c r="G47" i="8"/>
  <c r="H47" i="8"/>
  <c r="I47" i="8"/>
  <c r="J47" i="8"/>
  <c r="K47" i="8"/>
  <c r="L47" i="8"/>
  <c r="M47" i="8"/>
  <c r="N47" i="8"/>
  <c r="O47" i="8"/>
  <c r="P45" i="8"/>
  <c r="P42" i="8"/>
  <c r="F52" i="10"/>
  <c r="F51" i="10"/>
  <c r="F50" i="10"/>
  <c r="D30" i="8"/>
  <c r="E30" i="8"/>
  <c r="F30" i="8"/>
  <c r="G30" i="8"/>
  <c r="H30" i="8"/>
  <c r="I30" i="8"/>
  <c r="J30" i="8"/>
  <c r="K30" i="8"/>
  <c r="L30" i="8"/>
  <c r="M30" i="8"/>
  <c r="N30" i="8"/>
  <c r="O30" i="8"/>
  <c r="D31" i="8"/>
  <c r="E31" i="8"/>
  <c r="F31" i="8"/>
  <c r="G31" i="8"/>
  <c r="H31" i="8"/>
  <c r="I31" i="8"/>
  <c r="J31" i="8"/>
  <c r="K31" i="8"/>
  <c r="L31" i="8"/>
  <c r="M31" i="8"/>
  <c r="N31" i="8"/>
  <c r="O31" i="8"/>
  <c r="D32" i="8"/>
  <c r="E32" i="8"/>
  <c r="F32" i="8"/>
  <c r="G32" i="8"/>
  <c r="H32" i="8"/>
  <c r="I32" i="8"/>
  <c r="J32" i="8"/>
  <c r="K32" i="8"/>
  <c r="L32" i="8"/>
  <c r="M32" i="8"/>
  <c r="N32" i="8"/>
  <c r="O32" i="8"/>
  <c r="D33" i="8"/>
  <c r="E33" i="8"/>
  <c r="F33" i="8"/>
  <c r="G33" i="8"/>
  <c r="H33" i="8"/>
  <c r="I33" i="8"/>
  <c r="J33" i="8"/>
  <c r="K33" i="8"/>
  <c r="L33" i="8"/>
  <c r="M33" i="8"/>
  <c r="N33" i="8"/>
  <c r="O33" i="8"/>
  <c r="D34" i="8"/>
  <c r="E34" i="8"/>
  <c r="F34" i="8"/>
  <c r="G34" i="8"/>
  <c r="H34" i="8"/>
  <c r="I34" i="8"/>
  <c r="J34" i="8"/>
  <c r="K34" i="8"/>
  <c r="L34" i="8"/>
  <c r="M34" i="8"/>
  <c r="N34" i="8"/>
  <c r="O34" i="8"/>
  <c r="D35" i="8"/>
  <c r="E35" i="8"/>
  <c r="F35" i="8"/>
  <c r="G35" i="8"/>
  <c r="H35" i="8"/>
  <c r="I35" i="8"/>
  <c r="J35" i="8"/>
  <c r="K35" i="8"/>
  <c r="L35" i="8"/>
  <c r="M35" i="8"/>
  <c r="N35" i="8"/>
  <c r="O35" i="8"/>
  <c r="D36" i="8"/>
  <c r="E36" i="8"/>
  <c r="F36" i="8"/>
  <c r="G36" i="8"/>
  <c r="H36" i="8"/>
  <c r="I36" i="8"/>
  <c r="J36" i="8"/>
  <c r="K36" i="8"/>
  <c r="L36" i="8"/>
  <c r="M36" i="8"/>
  <c r="N36" i="8"/>
  <c r="O36" i="8"/>
  <c r="D37" i="8"/>
  <c r="E37" i="8"/>
  <c r="F37" i="8"/>
  <c r="G37" i="8"/>
  <c r="H37" i="8"/>
  <c r="I37" i="8"/>
  <c r="J37" i="8"/>
  <c r="K37" i="8"/>
  <c r="L37" i="8"/>
  <c r="M37" i="8"/>
  <c r="N37" i="8"/>
  <c r="O37" i="8"/>
  <c r="C31" i="8"/>
  <c r="C32" i="8"/>
  <c r="C33" i="8"/>
  <c r="C34" i="8"/>
  <c r="C35" i="8"/>
  <c r="C36" i="8"/>
  <c r="C37" i="8"/>
  <c r="C30" i="8"/>
  <c r="P20" i="8"/>
  <c r="P21" i="8"/>
  <c r="P22" i="8"/>
  <c r="P23" i="8"/>
  <c r="P24" i="8"/>
  <c r="P25" i="8"/>
  <c r="O66" i="21" l="1"/>
  <c r="G63" i="22"/>
  <c r="N39" i="8"/>
  <c r="N38" i="22" s="1"/>
  <c r="L39" i="8"/>
  <c r="L38" i="22" s="1"/>
  <c r="D39" i="8"/>
  <c r="D38" i="22" s="1"/>
  <c r="C39" i="8"/>
  <c r="C38" i="22" s="1"/>
  <c r="K39" i="8"/>
  <c r="K38" i="22" s="1"/>
  <c r="M47" i="21"/>
  <c r="E47" i="21"/>
  <c r="I39" i="8"/>
  <c r="I38" i="22" s="1"/>
  <c r="G27" i="21"/>
  <c r="O27" i="21"/>
  <c r="O39" i="8"/>
  <c r="O38" i="22" s="1"/>
  <c r="J39" i="8"/>
  <c r="J38" i="22" s="1"/>
  <c r="H39" i="8"/>
  <c r="H38" i="22" s="1"/>
  <c r="G39" i="8"/>
  <c r="G38" i="22" s="1"/>
  <c r="F39" i="8"/>
  <c r="F38" i="22" s="1"/>
  <c r="M39" i="8"/>
  <c r="M38" i="22" s="1"/>
  <c r="E39" i="8"/>
  <c r="E38" i="22" s="1"/>
  <c r="K27" i="21"/>
  <c r="H52" i="10"/>
  <c r="F34" i="24" s="1"/>
  <c r="D34" i="24"/>
  <c r="H51" i="10"/>
  <c r="F33" i="24" s="1"/>
  <c r="D33" i="24"/>
  <c r="H50" i="10"/>
  <c r="F32" i="24" s="1"/>
  <c r="D32" i="24"/>
  <c r="C27" i="21"/>
  <c r="D27" i="21"/>
  <c r="H27" i="21"/>
  <c r="L27" i="21"/>
  <c r="E27" i="21"/>
  <c r="I27" i="21"/>
  <c r="M27" i="21"/>
  <c r="F27" i="21"/>
  <c r="J27" i="21"/>
  <c r="N27" i="21"/>
  <c r="J66" i="21"/>
  <c r="K66" i="21"/>
  <c r="N66" i="21"/>
  <c r="F66" i="21"/>
  <c r="F67" i="21" s="1"/>
  <c r="N47" i="21"/>
  <c r="J47" i="21"/>
  <c r="F47" i="21"/>
  <c r="O61" i="22"/>
  <c r="O65" i="22"/>
  <c r="K60" i="22"/>
  <c r="K64" i="22"/>
  <c r="G59" i="22"/>
  <c r="K65" i="22"/>
  <c r="G64" i="22"/>
  <c r="O62" i="22"/>
  <c r="K61" i="22"/>
  <c r="G60" i="22"/>
  <c r="O58" i="22"/>
  <c r="C58" i="22"/>
  <c r="G65" i="22"/>
  <c r="O63" i="22"/>
  <c r="K62" i="22"/>
  <c r="G61" i="22"/>
  <c r="O59" i="22"/>
  <c r="K58" i="22"/>
  <c r="C62" i="22"/>
  <c r="O64" i="22"/>
  <c r="K63" i="22"/>
  <c r="G62" i="22"/>
  <c r="E66" i="21"/>
  <c r="N47" i="22"/>
  <c r="J47" i="22"/>
  <c r="F47" i="22"/>
  <c r="M47" i="22"/>
  <c r="I47" i="22"/>
  <c r="M66" i="21"/>
  <c r="I66" i="21"/>
  <c r="F58" i="22"/>
  <c r="F59" i="22"/>
  <c r="F60" i="22"/>
  <c r="F61" i="22"/>
  <c r="F62" i="22"/>
  <c r="F63" i="22"/>
  <c r="F64" i="22"/>
  <c r="F65" i="22"/>
  <c r="J58" i="22"/>
  <c r="J59" i="22"/>
  <c r="J60" i="22"/>
  <c r="J61" i="22"/>
  <c r="J62" i="22"/>
  <c r="J63" i="22"/>
  <c r="J64" i="22"/>
  <c r="J65" i="22"/>
  <c r="N58" i="22"/>
  <c r="N59" i="22"/>
  <c r="N60" i="22"/>
  <c r="N61" i="22"/>
  <c r="N62" i="22"/>
  <c r="N63" i="22"/>
  <c r="N64" i="22"/>
  <c r="N65" i="22"/>
  <c r="P66" i="8"/>
  <c r="C66" i="21"/>
  <c r="P60" i="21"/>
  <c r="L66" i="21"/>
  <c r="H66" i="21"/>
  <c r="D66" i="21"/>
  <c r="E47" i="22"/>
  <c r="C65" i="22"/>
  <c r="C61" i="22"/>
  <c r="P58" i="21"/>
  <c r="C64" i="22"/>
  <c r="C60" i="22"/>
  <c r="M65" i="22"/>
  <c r="I65" i="22"/>
  <c r="E65" i="22"/>
  <c r="M64" i="22"/>
  <c r="I64" i="22"/>
  <c r="E64" i="22"/>
  <c r="M63" i="22"/>
  <c r="I63" i="22"/>
  <c r="E63" i="22"/>
  <c r="M62" i="22"/>
  <c r="I62" i="22"/>
  <c r="E62" i="22"/>
  <c r="M61" i="22"/>
  <c r="I61" i="22"/>
  <c r="E61" i="22"/>
  <c r="M60" i="22"/>
  <c r="I60" i="22"/>
  <c r="E60" i="22"/>
  <c r="M59" i="22"/>
  <c r="I59" i="22"/>
  <c r="E59" i="22"/>
  <c r="P24" i="21"/>
  <c r="C63" i="22"/>
  <c r="L65" i="22"/>
  <c r="H65" i="22"/>
  <c r="D65" i="22"/>
  <c r="L64" i="22"/>
  <c r="H64" i="22"/>
  <c r="D64" i="22"/>
  <c r="L63" i="22"/>
  <c r="H63" i="22"/>
  <c r="D63" i="22"/>
  <c r="L62" i="22"/>
  <c r="H62" i="22"/>
  <c r="D62" i="22"/>
  <c r="L61" i="22"/>
  <c r="H61" i="22"/>
  <c r="D61" i="22"/>
  <c r="L60" i="22"/>
  <c r="H60" i="22"/>
  <c r="D60" i="22"/>
  <c r="L59" i="22"/>
  <c r="H59" i="22"/>
  <c r="D59" i="22"/>
  <c r="I47" i="21"/>
  <c r="P52" i="21"/>
  <c r="P64" i="21"/>
  <c r="P62" i="21"/>
  <c r="P59" i="21"/>
  <c r="P53" i="22"/>
  <c r="D27" i="23" s="1"/>
  <c r="K67" i="21"/>
  <c r="O67" i="21"/>
  <c r="P19" i="21"/>
  <c r="P21" i="21"/>
  <c r="P22" i="21"/>
  <c r="P23" i="21"/>
  <c r="P25" i="21"/>
  <c r="L47" i="22"/>
  <c r="H47" i="22"/>
  <c r="P35" i="8"/>
  <c r="P31" i="8"/>
  <c r="H47" i="21"/>
  <c r="L47" i="21"/>
  <c r="P53" i="21"/>
  <c r="O47" i="22"/>
  <c r="K47" i="22"/>
  <c r="G47" i="22"/>
  <c r="P63" i="21"/>
  <c r="P45" i="22"/>
  <c r="P52" i="22"/>
  <c r="D26" i="23" s="1"/>
  <c r="P65" i="21"/>
  <c r="P61" i="21"/>
  <c r="P45" i="21"/>
  <c r="G47" i="21"/>
  <c r="P18" i="21"/>
  <c r="P20" i="21"/>
  <c r="P37" i="8"/>
  <c r="P33" i="8"/>
  <c r="P34" i="8"/>
  <c r="F49" i="8"/>
  <c r="F55" i="8" s="1"/>
  <c r="P36" i="8"/>
  <c r="P32" i="8"/>
  <c r="I49" i="8"/>
  <c r="I55" i="8" s="1"/>
  <c r="P30" i="8"/>
  <c r="C30" i="1"/>
  <c r="D66" i="1"/>
  <c r="E66" i="1"/>
  <c r="F66" i="1"/>
  <c r="G66" i="1"/>
  <c r="H66" i="1"/>
  <c r="I66" i="1"/>
  <c r="J66" i="1"/>
  <c r="K66" i="1"/>
  <c r="L66" i="1"/>
  <c r="M66" i="1"/>
  <c r="N66" i="1"/>
  <c r="O66" i="1"/>
  <c r="C66" i="1"/>
  <c r="P59" i="1"/>
  <c r="P60" i="1"/>
  <c r="P61" i="1"/>
  <c r="P62" i="1"/>
  <c r="P63" i="1"/>
  <c r="P64" i="1"/>
  <c r="P65" i="1"/>
  <c r="P58" i="1"/>
  <c r="D47" i="1"/>
  <c r="E47" i="1"/>
  <c r="F47" i="1"/>
  <c r="G47" i="1"/>
  <c r="H47" i="1"/>
  <c r="I47" i="1"/>
  <c r="J47" i="1"/>
  <c r="K47" i="1"/>
  <c r="L47" i="1"/>
  <c r="M47" i="1"/>
  <c r="N47" i="1"/>
  <c r="O47" i="1"/>
  <c r="P46" i="1"/>
  <c r="P45" i="1"/>
  <c r="H61" i="10"/>
  <c r="J67" i="1" l="1"/>
  <c r="O49" i="8"/>
  <c r="O55" i="8" s="1"/>
  <c r="H49" i="8"/>
  <c r="H55" i="8" s="1"/>
  <c r="N67" i="1"/>
  <c r="K49" i="8"/>
  <c r="K55" i="8" s="1"/>
  <c r="P38" i="22"/>
  <c r="P39" i="8"/>
  <c r="P27" i="21"/>
  <c r="N67" i="21"/>
  <c r="J67" i="21"/>
  <c r="H67" i="21"/>
  <c r="G66" i="22"/>
  <c r="P58" i="22"/>
  <c r="L67" i="1"/>
  <c r="H67" i="1"/>
  <c r="F67" i="1"/>
  <c r="M67" i="21"/>
  <c r="O66" i="22"/>
  <c r="E67" i="21"/>
  <c r="K66" i="22"/>
  <c r="O67" i="1"/>
  <c r="K67" i="1"/>
  <c r="G67" i="1"/>
  <c r="M67" i="1"/>
  <c r="I67" i="1"/>
  <c r="E67" i="1"/>
  <c r="L66" i="22"/>
  <c r="P61" i="22"/>
  <c r="P65" i="22"/>
  <c r="M66" i="22"/>
  <c r="P64" i="22"/>
  <c r="N66" i="22"/>
  <c r="J66" i="22"/>
  <c r="I67" i="21"/>
  <c r="P59" i="22"/>
  <c r="P63" i="22"/>
  <c r="C66" i="22"/>
  <c r="H66" i="22"/>
  <c r="P62" i="22"/>
  <c r="I66" i="22"/>
  <c r="E66" i="22"/>
  <c r="P60" i="22"/>
  <c r="L67" i="21"/>
  <c r="F66" i="22"/>
  <c r="D66" i="22"/>
  <c r="P66" i="21"/>
  <c r="P66" i="1"/>
  <c r="G49" i="8"/>
  <c r="G55" i="8" s="1"/>
  <c r="J49" i="8"/>
  <c r="J55" i="8" s="1"/>
  <c r="L49" i="8"/>
  <c r="L55" i="8" s="1"/>
  <c r="M49" i="8"/>
  <c r="M55" i="8" s="1"/>
  <c r="C30" i="21"/>
  <c r="C30" i="22"/>
  <c r="D67" i="1"/>
  <c r="E49" i="8"/>
  <c r="E55" i="8" s="1"/>
  <c r="N49" i="8"/>
  <c r="N55" i="8" s="1"/>
  <c r="G67" i="21"/>
  <c r="G46" i="10"/>
  <c r="E17" i="24" s="1"/>
  <c r="E28" i="24"/>
  <c r="G40" i="19"/>
  <c r="C18" i="10" s="1"/>
  <c r="M18" i="10" s="1"/>
  <c r="D31" i="1"/>
  <c r="D31" i="21" s="1"/>
  <c r="E31" i="1"/>
  <c r="E31" i="21" s="1"/>
  <c r="F31" i="1"/>
  <c r="F31" i="21" s="1"/>
  <c r="G31" i="1"/>
  <c r="G31" i="21" s="1"/>
  <c r="H31" i="1"/>
  <c r="H31" i="21" s="1"/>
  <c r="I31" i="1"/>
  <c r="I31" i="21" s="1"/>
  <c r="J31" i="1"/>
  <c r="J31" i="21" s="1"/>
  <c r="K31" i="1"/>
  <c r="L31" i="1"/>
  <c r="L31" i="21" s="1"/>
  <c r="M31" i="1"/>
  <c r="M31" i="21" s="1"/>
  <c r="N31" i="1"/>
  <c r="N31" i="21" s="1"/>
  <c r="O31" i="1"/>
  <c r="D32" i="1"/>
  <c r="E32" i="1"/>
  <c r="E32" i="21" s="1"/>
  <c r="F32" i="1"/>
  <c r="F32" i="21" s="1"/>
  <c r="G32" i="1"/>
  <c r="G32" i="21" s="1"/>
  <c r="H32" i="1"/>
  <c r="H32" i="21" s="1"/>
  <c r="I32" i="1"/>
  <c r="I32" i="21" s="1"/>
  <c r="J32" i="1"/>
  <c r="J32" i="21" s="1"/>
  <c r="K32" i="1"/>
  <c r="L32" i="1"/>
  <c r="L32" i="21" s="1"/>
  <c r="M32" i="1"/>
  <c r="M32" i="21" s="1"/>
  <c r="N32" i="1"/>
  <c r="N32" i="21" s="1"/>
  <c r="O32" i="1"/>
  <c r="D34" i="1"/>
  <c r="D34" i="21" s="1"/>
  <c r="E34" i="1"/>
  <c r="E34" i="21" s="1"/>
  <c r="F34" i="1"/>
  <c r="F34" i="21" s="1"/>
  <c r="G34" i="1"/>
  <c r="G34" i="21" s="1"/>
  <c r="H34" i="1"/>
  <c r="H34" i="21" s="1"/>
  <c r="I34" i="1"/>
  <c r="I34" i="21" s="1"/>
  <c r="J34" i="1"/>
  <c r="J34" i="21" s="1"/>
  <c r="K34" i="1"/>
  <c r="L34" i="1"/>
  <c r="L34" i="21" s="1"/>
  <c r="M34" i="1"/>
  <c r="M34" i="21" s="1"/>
  <c r="N34" i="1"/>
  <c r="N34" i="21" s="1"/>
  <c r="O34" i="1"/>
  <c r="D37" i="1"/>
  <c r="D37" i="21" s="1"/>
  <c r="E37" i="1"/>
  <c r="E37" i="21" s="1"/>
  <c r="F37" i="1"/>
  <c r="F37" i="21" s="1"/>
  <c r="G37" i="1"/>
  <c r="G37" i="21" s="1"/>
  <c r="H37" i="1"/>
  <c r="H37" i="21" s="1"/>
  <c r="I37" i="1"/>
  <c r="I37" i="21" s="1"/>
  <c r="J37" i="1"/>
  <c r="J37" i="21" s="1"/>
  <c r="K37" i="1"/>
  <c r="L37" i="1"/>
  <c r="L37" i="21" s="1"/>
  <c r="M37" i="1"/>
  <c r="M37" i="21" s="1"/>
  <c r="N37" i="1"/>
  <c r="N37" i="21" s="1"/>
  <c r="O37" i="1"/>
  <c r="C35" i="1"/>
  <c r="C35" i="21" s="1"/>
  <c r="C36" i="1"/>
  <c r="C36" i="21" s="1"/>
  <c r="P23" i="1"/>
  <c r="P24" i="1"/>
  <c r="P25" i="1"/>
  <c r="P21" i="1"/>
  <c r="P19" i="1"/>
  <c r="C18" i="25" l="1"/>
  <c r="H56" i="25" s="1"/>
  <c r="H57" i="25" s="1"/>
  <c r="C43" i="8"/>
  <c r="C18" i="27"/>
  <c r="H56" i="27" s="1"/>
  <c r="H57" i="27" s="1"/>
  <c r="F38" i="24"/>
  <c r="H56" i="10"/>
  <c r="C43" i="1"/>
  <c r="E37" i="24"/>
  <c r="G41" i="19"/>
  <c r="G42" i="19" s="1"/>
  <c r="G43" i="19" s="1"/>
  <c r="G44" i="19" s="1"/>
  <c r="G45" i="19" s="1"/>
  <c r="G46" i="19" s="1"/>
  <c r="G47" i="19" s="1"/>
  <c r="G48" i="19" s="1"/>
  <c r="P66" i="22"/>
  <c r="N37" i="22"/>
  <c r="E31" i="22"/>
  <c r="F32" i="22"/>
  <c r="L31" i="22"/>
  <c r="J32" i="22"/>
  <c r="F34" i="22"/>
  <c r="I34" i="22"/>
  <c r="M32" i="22"/>
  <c r="D37" i="22"/>
  <c r="C36" i="22"/>
  <c r="L32" i="22"/>
  <c r="H31" i="22"/>
  <c r="M37" i="22"/>
  <c r="M34" i="22"/>
  <c r="E34" i="22"/>
  <c r="E32" i="22"/>
  <c r="I31" i="22"/>
  <c r="H34" i="22"/>
  <c r="K37" i="21"/>
  <c r="K37" i="22"/>
  <c r="O34" i="21"/>
  <c r="O34" i="22"/>
  <c r="K34" i="21"/>
  <c r="K34" i="22"/>
  <c r="O32" i="21"/>
  <c r="O32" i="22"/>
  <c r="K32" i="21"/>
  <c r="K32" i="22"/>
  <c r="O31" i="21"/>
  <c r="O31" i="22"/>
  <c r="K31" i="21"/>
  <c r="K31" i="22"/>
  <c r="G31" i="22"/>
  <c r="G32" i="22"/>
  <c r="H37" i="22"/>
  <c r="N32" i="22"/>
  <c r="C35" i="22"/>
  <c r="L37" i="22"/>
  <c r="J34" i="22"/>
  <c r="G34" i="22"/>
  <c r="G37" i="22"/>
  <c r="N31" i="22"/>
  <c r="E37" i="22"/>
  <c r="D34" i="22"/>
  <c r="L34" i="22"/>
  <c r="J31" i="22"/>
  <c r="F37" i="22"/>
  <c r="O37" i="21"/>
  <c r="O37" i="22"/>
  <c r="N34" i="22"/>
  <c r="D31" i="22"/>
  <c r="J37" i="22"/>
  <c r="F31" i="22"/>
  <c r="I37" i="22"/>
  <c r="I32" i="22"/>
  <c r="H32" i="22"/>
  <c r="M31" i="22"/>
  <c r="D32" i="22"/>
  <c r="D32" i="21"/>
  <c r="C42" i="22"/>
  <c r="P42" i="22" s="1"/>
  <c r="C42" i="21"/>
  <c r="P42" i="21" s="1"/>
  <c r="P42" i="1"/>
  <c r="P43" i="1" l="1"/>
  <c r="G54" i="10"/>
  <c r="F49" i="10"/>
  <c r="F54" i="10" s="1"/>
  <c r="H35" i="10"/>
  <c r="F25" i="24" s="1"/>
  <c r="K25" i="24" s="1"/>
  <c r="H32" i="10"/>
  <c r="F22" i="24" s="1"/>
  <c r="K22" i="24" s="1"/>
  <c r="D44" i="10"/>
  <c r="E43" i="10"/>
  <c r="C14" i="24" s="1"/>
  <c r="D42" i="10"/>
  <c r="D41" i="10"/>
  <c r="F25" i="10"/>
  <c r="F21" i="10"/>
  <c r="C44" i="10"/>
  <c r="C45" i="10"/>
  <c r="X9" i="19"/>
  <c r="X10" i="19"/>
  <c r="X11" i="19"/>
  <c r="X12" i="19"/>
  <c r="X17" i="19"/>
  <c r="X8" i="19"/>
  <c r="T7" i="19"/>
  <c r="S13" i="19"/>
  <c r="S14" i="19" s="1"/>
  <c r="S15" i="19" s="1"/>
  <c r="S16" i="19" s="1"/>
  <c r="R13" i="19"/>
  <c r="R14" i="19" s="1"/>
  <c r="R15" i="19" s="1"/>
  <c r="R16" i="19" s="1"/>
  <c r="C43" i="22" l="1"/>
  <c r="P43" i="22" s="1"/>
  <c r="G55" i="10"/>
  <c r="E36" i="24"/>
  <c r="C43" i="21"/>
  <c r="C47" i="21" s="1"/>
  <c r="C47" i="1"/>
  <c r="P47" i="1" s="1"/>
  <c r="P43" i="8"/>
  <c r="C47" i="8"/>
  <c r="C49" i="8" s="1"/>
  <c r="H49" i="10"/>
  <c r="F31" i="24" s="1"/>
  <c r="D31" i="24"/>
  <c r="F43" i="10"/>
  <c r="O12" i="1"/>
  <c r="K12" i="1"/>
  <c r="G12" i="1"/>
  <c r="N12" i="1"/>
  <c r="J12" i="1"/>
  <c r="F12" i="1"/>
  <c r="M12" i="1"/>
  <c r="I12" i="1"/>
  <c r="E12" i="1"/>
  <c r="D12" i="1"/>
  <c r="L12" i="1"/>
  <c r="H12" i="1"/>
  <c r="H36" i="10"/>
  <c r="F26" i="24" s="1"/>
  <c r="K26" i="24" s="1"/>
  <c r="C7" i="1"/>
  <c r="H34" i="10"/>
  <c r="F24" i="24" s="1"/>
  <c r="K24" i="24" s="1"/>
  <c r="C8" i="1"/>
  <c r="H30" i="10"/>
  <c r="F20" i="24" s="1"/>
  <c r="K20" i="24" s="1"/>
  <c r="C9" i="1"/>
  <c r="H33" i="10"/>
  <c r="F23" i="24" s="1"/>
  <c r="K23" i="24" s="1"/>
  <c r="H31" i="10"/>
  <c r="F21" i="24" s="1"/>
  <c r="K21" i="24" s="1"/>
  <c r="C10" i="1"/>
  <c r="D36" i="24"/>
  <c r="E44" i="10"/>
  <c r="C15" i="24" s="1"/>
  <c r="E42" i="10"/>
  <c r="C13" i="24" s="1"/>
  <c r="E41" i="10"/>
  <c r="C12" i="24" s="1"/>
  <c r="W14" i="10"/>
  <c r="K28" i="24" l="1"/>
  <c r="J43" i="10"/>
  <c r="I43" i="10"/>
  <c r="C47" i="22"/>
  <c r="C67" i="1"/>
  <c r="P43" i="21"/>
  <c r="C50" i="8"/>
  <c r="C55" i="8"/>
  <c r="H54" i="10"/>
  <c r="F36" i="24" s="1"/>
  <c r="F46" i="24" s="1"/>
  <c r="H43" i="10"/>
  <c r="F14" i="24" s="1"/>
  <c r="G14" i="24" s="1"/>
  <c r="K14" i="24" s="1"/>
  <c r="D14" i="24"/>
  <c r="H38" i="10"/>
  <c r="F28" i="24" s="1"/>
  <c r="L12" i="21"/>
  <c r="L36" i="1"/>
  <c r="M12" i="21"/>
  <c r="M36" i="1"/>
  <c r="G12" i="21"/>
  <c r="G36" i="1"/>
  <c r="D12" i="21"/>
  <c r="D36" i="1"/>
  <c r="F12" i="21"/>
  <c r="F36" i="1"/>
  <c r="K12" i="21"/>
  <c r="K36" i="1"/>
  <c r="E12" i="21"/>
  <c r="E36" i="1"/>
  <c r="J12" i="21"/>
  <c r="J36" i="1"/>
  <c r="O12" i="21"/>
  <c r="O36" i="1"/>
  <c r="H12" i="21"/>
  <c r="H36" i="1"/>
  <c r="I12" i="21"/>
  <c r="I36" i="1"/>
  <c r="N12" i="21"/>
  <c r="N36" i="1"/>
  <c r="N11" i="1"/>
  <c r="F11" i="1"/>
  <c r="M11" i="1"/>
  <c r="E11" i="1"/>
  <c r="L11" i="1"/>
  <c r="H11" i="1"/>
  <c r="O11" i="1"/>
  <c r="K11" i="1"/>
  <c r="G11" i="1"/>
  <c r="J11" i="1"/>
  <c r="I11" i="1"/>
  <c r="C13" i="21"/>
  <c r="P13" i="21" s="1"/>
  <c r="C37" i="1"/>
  <c r="C10" i="21"/>
  <c r="P10" i="21" s="1"/>
  <c r="C34" i="1"/>
  <c r="C9" i="21"/>
  <c r="C33" i="1"/>
  <c r="C15" i="1"/>
  <c r="C7" i="21"/>
  <c r="C31" i="1"/>
  <c r="C8" i="21"/>
  <c r="P8" i="21" s="1"/>
  <c r="C32" i="1"/>
  <c r="F41" i="10"/>
  <c r="N9" i="1"/>
  <c r="J9" i="1"/>
  <c r="F9" i="1"/>
  <c r="M9" i="1"/>
  <c r="I9" i="1"/>
  <c r="E9" i="1"/>
  <c r="L9" i="1"/>
  <c r="H9" i="1"/>
  <c r="D9" i="1"/>
  <c r="O9" i="1"/>
  <c r="K9" i="1"/>
  <c r="G9" i="1"/>
  <c r="F44" i="10"/>
  <c r="D11" i="1"/>
  <c r="G4" i="21"/>
  <c r="G4" i="22"/>
  <c r="C25" i="23"/>
  <c r="C67" i="21"/>
  <c r="F42" i="10"/>
  <c r="Q13" i="19"/>
  <c r="T13" i="19" s="1"/>
  <c r="E8" i="19"/>
  <c r="E9" i="19"/>
  <c r="E10" i="19"/>
  <c r="E11" i="19"/>
  <c r="E12" i="19"/>
  <c r="V14" i="10"/>
  <c r="X14" i="10"/>
  <c r="Y14" i="10"/>
  <c r="Z14" i="10"/>
  <c r="AA14" i="10"/>
  <c r="AB14" i="10"/>
  <c r="AC14" i="10"/>
  <c r="AD14" i="10"/>
  <c r="AE14" i="10"/>
  <c r="U14" i="10"/>
  <c r="T14" i="10"/>
  <c r="I41" i="10" l="1"/>
  <c r="J41" i="10"/>
  <c r="J44" i="10"/>
  <c r="I44" i="10"/>
  <c r="J42" i="10"/>
  <c r="I42" i="10"/>
  <c r="C29" i="19"/>
  <c r="C31" i="19"/>
  <c r="C32" i="19"/>
  <c r="C30" i="19"/>
  <c r="Q14" i="19"/>
  <c r="T14" i="19" s="1"/>
  <c r="H44" i="10"/>
  <c r="F15" i="24" s="1"/>
  <c r="G15" i="24" s="1"/>
  <c r="K15" i="24" s="1"/>
  <c r="D15" i="24"/>
  <c r="H42" i="10"/>
  <c r="F13" i="24" s="1"/>
  <c r="G13" i="24" s="1"/>
  <c r="K13" i="24" s="1"/>
  <c r="D13" i="24"/>
  <c r="H41" i="10"/>
  <c r="F12" i="24" s="1"/>
  <c r="G12" i="24" s="1"/>
  <c r="K12" i="24" s="1"/>
  <c r="D12" i="24"/>
  <c r="N36" i="21"/>
  <c r="N36" i="22"/>
  <c r="H36" i="21"/>
  <c r="H36" i="22"/>
  <c r="J36" i="21"/>
  <c r="J36" i="22"/>
  <c r="K36" i="21"/>
  <c r="K36" i="22"/>
  <c r="D36" i="21"/>
  <c r="D36" i="22"/>
  <c r="M36" i="21"/>
  <c r="M36" i="22"/>
  <c r="P12" i="21"/>
  <c r="I36" i="21"/>
  <c r="I36" i="22"/>
  <c r="O36" i="21"/>
  <c r="O36" i="22"/>
  <c r="E36" i="21"/>
  <c r="E36" i="22"/>
  <c r="F36" i="21"/>
  <c r="F36" i="22"/>
  <c r="G36" i="21"/>
  <c r="G36" i="22"/>
  <c r="L36" i="21"/>
  <c r="L36" i="22"/>
  <c r="O11" i="21"/>
  <c r="O35" i="1"/>
  <c r="J11" i="21"/>
  <c r="J35" i="1"/>
  <c r="H11" i="21"/>
  <c r="H35" i="1"/>
  <c r="F11" i="21"/>
  <c r="F35" i="1"/>
  <c r="I11" i="21"/>
  <c r="I35" i="1"/>
  <c r="G11" i="21"/>
  <c r="G35" i="1"/>
  <c r="L11" i="21"/>
  <c r="L35" i="1"/>
  <c r="N11" i="21"/>
  <c r="N35" i="1"/>
  <c r="M11" i="21"/>
  <c r="M35" i="1"/>
  <c r="K11" i="21"/>
  <c r="K35" i="1"/>
  <c r="E11" i="21"/>
  <c r="E35" i="1"/>
  <c r="G9" i="21"/>
  <c r="G33" i="1"/>
  <c r="H9" i="21"/>
  <c r="H33" i="1"/>
  <c r="M9" i="21"/>
  <c r="M33" i="1"/>
  <c r="P7" i="21"/>
  <c r="C15" i="21"/>
  <c r="C68" i="21" s="1"/>
  <c r="L9" i="21"/>
  <c r="L33" i="1"/>
  <c r="C32" i="21"/>
  <c r="P32" i="21" s="1"/>
  <c r="C32" i="22"/>
  <c r="P32" i="22" s="1"/>
  <c r="E9" i="21"/>
  <c r="E33" i="1"/>
  <c r="C33" i="21"/>
  <c r="C33" i="22"/>
  <c r="C37" i="21"/>
  <c r="P37" i="21" s="1"/>
  <c r="C37" i="22"/>
  <c r="P37" i="22" s="1"/>
  <c r="C34" i="21"/>
  <c r="P34" i="21" s="1"/>
  <c r="C34" i="22"/>
  <c r="P34" i="22" s="1"/>
  <c r="K9" i="21"/>
  <c r="K33" i="1"/>
  <c r="F9" i="21"/>
  <c r="F33" i="1"/>
  <c r="O9" i="21"/>
  <c r="O33" i="1"/>
  <c r="J9" i="21"/>
  <c r="J33" i="1"/>
  <c r="D9" i="21"/>
  <c r="D33" i="1"/>
  <c r="I9" i="21"/>
  <c r="I33" i="1"/>
  <c r="N9" i="21"/>
  <c r="N33" i="1"/>
  <c r="C39" i="1"/>
  <c r="C31" i="22"/>
  <c r="C31" i="21"/>
  <c r="D11" i="21"/>
  <c r="D35" i="1"/>
  <c r="C28" i="19"/>
  <c r="C24" i="19"/>
  <c r="G24" i="19" s="1"/>
  <c r="C27" i="19"/>
  <c r="C26" i="19"/>
  <c r="C25" i="19"/>
  <c r="L4" i="22"/>
  <c r="L4" i="21"/>
  <c r="K4" i="21"/>
  <c r="K4" i="22"/>
  <c r="N4" i="22"/>
  <c r="N4" i="21"/>
  <c r="J4" i="22"/>
  <c r="J4" i="21"/>
  <c r="E4" i="21"/>
  <c r="E4" i="22"/>
  <c r="H4" i="21"/>
  <c r="H4" i="22"/>
  <c r="O4" i="21"/>
  <c r="O4" i="22"/>
  <c r="F4" i="22"/>
  <c r="F4" i="21"/>
  <c r="M4" i="21"/>
  <c r="M4" i="22"/>
  <c r="I4" i="21"/>
  <c r="I4" i="22"/>
  <c r="D45" i="10"/>
  <c r="D46" i="10" s="1"/>
  <c r="F62" i="10" s="1"/>
  <c r="C46" i="10"/>
  <c r="C62" i="10" s="1"/>
  <c r="D62" i="10" l="1"/>
  <c r="D63" i="10" s="1"/>
  <c r="E62" i="10"/>
  <c r="E63" i="10" s="1"/>
  <c r="G29" i="19"/>
  <c r="G31" i="19"/>
  <c r="G30" i="19"/>
  <c r="G32" i="19"/>
  <c r="Q15" i="19"/>
  <c r="T15" i="19" s="1"/>
  <c r="P36" i="22"/>
  <c r="P36" i="21"/>
  <c r="P11" i="21"/>
  <c r="P9" i="21"/>
  <c r="K35" i="21"/>
  <c r="K35" i="22"/>
  <c r="N35" i="21"/>
  <c r="N35" i="22"/>
  <c r="G35" i="21"/>
  <c r="G35" i="22"/>
  <c r="F35" i="21"/>
  <c r="F35" i="22"/>
  <c r="J35" i="21"/>
  <c r="J35" i="22"/>
  <c r="E35" i="21"/>
  <c r="E35" i="22"/>
  <c r="M35" i="21"/>
  <c r="M35" i="22"/>
  <c r="L35" i="21"/>
  <c r="L35" i="22"/>
  <c r="I35" i="21"/>
  <c r="I35" i="22"/>
  <c r="H35" i="21"/>
  <c r="H35" i="22"/>
  <c r="O35" i="21"/>
  <c r="O35" i="22"/>
  <c r="F33" i="21"/>
  <c r="F33" i="22"/>
  <c r="N33" i="21"/>
  <c r="N33" i="22"/>
  <c r="O33" i="21"/>
  <c r="O33" i="22"/>
  <c r="K33" i="22"/>
  <c r="K33" i="21"/>
  <c r="E33" i="21"/>
  <c r="E33" i="22"/>
  <c r="L33" i="21"/>
  <c r="L33" i="22"/>
  <c r="M33" i="21"/>
  <c r="M33" i="22"/>
  <c r="G33" i="21"/>
  <c r="G33" i="22"/>
  <c r="H33" i="21"/>
  <c r="H33" i="22"/>
  <c r="D33" i="21"/>
  <c r="D33" i="22"/>
  <c r="C39" i="21"/>
  <c r="C49" i="21" s="1"/>
  <c r="P31" i="21"/>
  <c r="P31" i="22"/>
  <c r="C39" i="22"/>
  <c r="C49" i="22" s="1"/>
  <c r="I33" i="21"/>
  <c r="I33" i="22"/>
  <c r="J33" i="21"/>
  <c r="J33" i="22"/>
  <c r="D35" i="21"/>
  <c r="D35" i="22"/>
  <c r="E24" i="19"/>
  <c r="E25" i="19" s="1"/>
  <c r="G28" i="19"/>
  <c r="G27" i="19"/>
  <c r="G26" i="19"/>
  <c r="G25" i="19"/>
  <c r="G63" i="10"/>
  <c r="F63" i="10"/>
  <c r="C63" i="10"/>
  <c r="E45" i="10"/>
  <c r="C16" i="24" s="1"/>
  <c r="E29" i="19" l="1"/>
  <c r="E30" i="19"/>
  <c r="E31" i="19"/>
  <c r="E32" i="19"/>
  <c r="Q16" i="19"/>
  <c r="T16" i="19" s="1"/>
  <c r="C50" i="21"/>
  <c r="C55" i="21"/>
  <c r="C50" i="22"/>
  <c r="C55" i="22"/>
  <c r="P35" i="21"/>
  <c r="P33" i="21"/>
  <c r="P35" i="22"/>
  <c r="P33" i="22"/>
  <c r="F45" i="10"/>
  <c r="F6" i="1"/>
  <c r="L6" i="1"/>
  <c r="K6" i="1"/>
  <c r="J6" i="1"/>
  <c r="M6" i="1"/>
  <c r="H6" i="1"/>
  <c r="G6" i="1"/>
  <c r="N6" i="1"/>
  <c r="I6" i="1"/>
  <c r="D6" i="1"/>
  <c r="E6" i="1"/>
  <c r="O6" i="1"/>
  <c r="E26" i="19"/>
  <c r="E27" i="19"/>
  <c r="E28" i="19"/>
  <c r="H62" i="10"/>
  <c r="H63" i="10" s="1"/>
  <c r="E46" i="10"/>
  <c r="J45" i="10" l="1"/>
  <c r="J46" i="10" s="1"/>
  <c r="I45" i="10"/>
  <c r="C17" i="24"/>
  <c r="H45" i="10"/>
  <c r="D16" i="24"/>
  <c r="F46" i="10"/>
  <c r="E15" i="1"/>
  <c r="E6" i="21"/>
  <c r="E15" i="21" s="1"/>
  <c r="E68" i="21" s="1"/>
  <c r="E30" i="1"/>
  <c r="K15" i="1"/>
  <c r="K6" i="21"/>
  <c r="K15" i="21" s="1"/>
  <c r="K68" i="21" s="1"/>
  <c r="K30" i="1"/>
  <c r="D30" i="1"/>
  <c r="D15" i="1"/>
  <c r="D6" i="21"/>
  <c r="H15" i="1"/>
  <c r="H6" i="21"/>
  <c r="H15" i="21" s="1"/>
  <c r="H68" i="21" s="1"/>
  <c r="H30" i="1"/>
  <c r="L15" i="1"/>
  <c r="L6" i="21"/>
  <c r="L15" i="21" s="1"/>
  <c r="L68" i="21" s="1"/>
  <c r="L30" i="1"/>
  <c r="I15" i="1"/>
  <c r="I6" i="21"/>
  <c r="I15" i="21" s="1"/>
  <c r="I68" i="21" s="1"/>
  <c r="I30" i="1"/>
  <c r="M15" i="1"/>
  <c r="M6" i="21"/>
  <c r="M15" i="21" s="1"/>
  <c r="M68" i="21" s="1"/>
  <c r="M30" i="1"/>
  <c r="F15" i="1"/>
  <c r="F6" i="21"/>
  <c r="F15" i="21" s="1"/>
  <c r="F68" i="21" s="1"/>
  <c r="F30" i="1"/>
  <c r="G15" i="1"/>
  <c r="G6" i="21"/>
  <c r="G15" i="21" s="1"/>
  <c r="G68" i="21" s="1"/>
  <c r="G30" i="1"/>
  <c r="O15" i="1"/>
  <c r="O6" i="21"/>
  <c r="O15" i="21" s="1"/>
  <c r="O68" i="21" s="1"/>
  <c r="O30" i="1"/>
  <c r="N15" i="1"/>
  <c r="N6" i="21"/>
  <c r="N15" i="21" s="1"/>
  <c r="N68" i="21" s="1"/>
  <c r="N30" i="1"/>
  <c r="J15" i="1"/>
  <c r="J6" i="21"/>
  <c r="J15" i="21" s="1"/>
  <c r="J68" i="21" s="1"/>
  <c r="J30" i="1"/>
  <c r="F49" i="24" l="1"/>
  <c r="H46" i="10"/>
  <c r="F16" i="24"/>
  <c r="G16" i="24" s="1"/>
  <c r="F55" i="10"/>
  <c r="D17" i="24"/>
  <c r="D37" i="24" s="1"/>
  <c r="J39" i="1"/>
  <c r="J30" i="22"/>
  <c r="J39" i="22" s="1"/>
  <c r="J49" i="22" s="1"/>
  <c r="J55" i="22" s="1"/>
  <c r="J30" i="21"/>
  <c r="J39" i="21" s="1"/>
  <c r="J49" i="21" s="1"/>
  <c r="J55" i="21" s="1"/>
  <c r="F30" i="21"/>
  <c r="F39" i="21" s="1"/>
  <c r="F49" i="21" s="1"/>
  <c r="F55" i="21" s="1"/>
  <c r="F39" i="1"/>
  <c r="F30" i="22"/>
  <c r="F39" i="22" s="1"/>
  <c r="F49" i="22" s="1"/>
  <c r="F55" i="22" s="1"/>
  <c r="H30" i="22"/>
  <c r="H39" i="22" s="1"/>
  <c r="H49" i="22" s="1"/>
  <c r="H55" i="22" s="1"/>
  <c r="H30" i="21"/>
  <c r="H39" i="21" s="1"/>
  <c r="H49" i="21" s="1"/>
  <c r="H55" i="21" s="1"/>
  <c r="H39" i="1"/>
  <c r="G39" i="1"/>
  <c r="G30" i="22"/>
  <c r="G39" i="22" s="1"/>
  <c r="G49" i="22" s="1"/>
  <c r="G55" i="22" s="1"/>
  <c r="G30" i="21"/>
  <c r="G39" i="21" s="1"/>
  <c r="G49" i="21" s="1"/>
  <c r="G55" i="21" s="1"/>
  <c r="L39" i="1"/>
  <c r="L30" i="21"/>
  <c r="L39" i="21" s="1"/>
  <c r="L49" i="21" s="1"/>
  <c r="L55" i="21" s="1"/>
  <c r="L30" i="22"/>
  <c r="L39" i="22" s="1"/>
  <c r="L49" i="22" s="1"/>
  <c r="L55" i="22" s="1"/>
  <c r="D30" i="22"/>
  <c r="D30" i="21"/>
  <c r="D39" i="1"/>
  <c r="E30" i="21"/>
  <c r="E39" i="21" s="1"/>
  <c r="E49" i="21" s="1"/>
  <c r="E55" i="21" s="1"/>
  <c r="E39" i="1"/>
  <c r="E30" i="22"/>
  <c r="E39" i="22" s="1"/>
  <c r="E49" i="22" s="1"/>
  <c r="O30" i="21"/>
  <c r="O39" i="21" s="1"/>
  <c r="O49" i="21" s="1"/>
  <c r="O55" i="21" s="1"/>
  <c r="O30" i="22"/>
  <c r="O39" i="22" s="1"/>
  <c r="O49" i="22" s="1"/>
  <c r="O55" i="22" s="1"/>
  <c r="O39" i="1"/>
  <c r="I39" i="1"/>
  <c r="I30" i="21"/>
  <c r="I39" i="21" s="1"/>
  <c r="I49" i="21" s="1"/>
  <c r="I55" i="21" s="1"/>
  <c r="I30" i="22"/>
  <c r="I39" i="22" s="1"/>
  <c r="I49" i="22" s="1"/>
  <c r="I55" i="22" s="1"/>
  <c r="K39" i="1"/>
  <c r="K30" i="22"/>
  <c r="K39" i="22" s="1"/>
  <c r="K49" i="22" s="1"/>
  <c r="K55" i="22" s="1"/>
  <c r="K30" i="21"/>
  <c r="K39" i="21" s="1"/>
  <c r="K49" i="21" s="1"/>
  <c r="K55" i="21" s="1"/>
  <c r="N30" i="21"/>
  <c r="N39" i="21" s="1"/>
  <c r="N49" i="21" s="1"/>
  <c r="N55" i="21" s="1"/>
  <c r="N39" i="1"/>
  <c r="N30" i="22"/>
  <c r="N39" i="22" s="1"/>
  <c r="N49" i="22" s="1"/>
  <c r="N55" i="22" s="1"/>
  <c r="M30" i="21"/>
  <c r="M39" i="21" s="1"/>
  <c r="M49" i="21" s="1"/>
  <c r="M55" i="21" s="1"/>
  <c r="M30" i="22"/>
  <c r="M39" i="22" s="1"/>
  <c r="M49" i="22" s="1"/>
  <c r="M55" i="22" s="1"/>
  <c r="M39" i="1"/>
  <c r="P6" i="21"/>
  <c r="P15" i="21" s="1"/>
  <c r="D15" i="21"/>
  <c r="P32" i="1"/>
  <c r="C49" i="1"/>
  <c r="P31" i="1"/>
  <c r="P33" i="1"/>
  <c r="P36" i="1"/>
  <c r="P35" i="1"/>
  <c r="G17" i="24" l="1"/>
  <c r="K16" i="24"/>
  <c r="K17" i="24" s="1"/>
  <c r="H55" i="10"/>
  <c r="F17" i="24"/>
  <c r="C50" i="1"/>
  <c r="C55" i="1"/>
  <c r="E55" i="22"/>
  <c r="P30" i="22"/>
  <c r="P39" i="22" s="1"/>
  <c r="D39" i="22"/>
  <c r="P30" i="21"/>
  <c r="P39" i="21" s="1"/>
  <c r="D39" i="21"/>
  <c r="D30" i="16"/>
  <c r="C30" i="16"/>
  <c r="C31" i="16" s="1"/>
  <c r="C32" i="16" s="1"/>
  <c r="C33" i="16" s="1"/>
  <c r="L29" i="16"/>
  <c r="E29" i="16"/>
  <c r="F29" i="16" s="1"/>
  <c r="B29" i="16"/>
  <c r="L28" i="16"/>
  <c r="E28" i="16"/>
  <c r="F28" i="16" s="1"/>
  <c r="B28" i="16"/>
  <c r="L27" i="16"/>
  <c r="E27" i="16"/>
  <c r="F27" i="16" s="1"/>
  <c r="B27" i="16"/>
  <c r="L26" i="16"/>
  <c r="E26" i="16"/>
  <c r="B26" i="16"/>
  <c r="L25" i="16"/>
  <c r="E25" i="16"/>
  <c r="B25" i="16"/>
  <c r="L24" i="16"/>
  <c r="E24" i="16"/>
  <c r="B24" i="16"/>
  <c r="K13" i="16"/>
  <c r="K12" i="16"/>
  <c r="K11" i="16"/>
  <c r="K10" i="16"/>
  <c r="I10" i="16"/>
  <c r="I11" i="16" s="1"/>
  <c r="L11" i="16" s="1"/>
  <c r="D10" i="16"/>
  <c r="C10" i="16"/>
  <c r="C11" i="16" s="1"/>
  <c r="C12" i="16" s="1"/>
  <c r="C13" i="16" s="1"/>
  <c r="K9" i="16"/>
  <c r="L9" i="16" s="1"/>
  <c r="M9" i="16" s="1"/>
  <c r="E9" i="16"/>
  <c r="F9" i="16" s="1"/>
  <c r="B9" i="16"/>
  <c r="K8" i="16"/>
  <c r="L8" i="16" s="1"/>
  <c r="M8" i="16" s="1"/>
  <c r="E8" i="16"/>
  <c r="F8" i="16" s="1"/>
  <c r="B8" i="16"/>
  <c r="K7" i="16"/>
  <c r="L7" i="16" s="1"/>
  <c r="M7" i="16" s="1"/>
  <c r="E7" i="16"/>
  <c r="F7" i="16" s="1"/>
  <c r="B7" i="16"/>
  <c r="K6" i="16"/>
  <c r="L6" i="16" s="1"/>
  <c r="B6" i="16"/>
  <c r="K5" i="16"/>
  <c r="L5" i="16" s="1"/>
  <c r="B5" i="16"/>
  <c r="K4" i="16"/>
  <c r="L4" i="16" s="1"/>
  <c r="E4" i="16" s="1"/>
  <c r="B4" i="16"/>
  <c r="K45" i="24" l="1"/>
  <c r="K43" i="24"/>
  <c r="K42" i="24"/>
  <c r="K44" i="24"/>
  <c r="L10" i="16"/>
  <c r="B30" i="16"/>
  <c r="F37" i="24"/>
  <c r="F39" i="24" s="1"/>
  <c r="F43" i="24"/>
  <c r="F42" i="24"/>
  <c r="F45" i="24"/>
  <c r="F44" i="24"/>
  <c r="C6" i="23"/>
  <c r="I8" i="23" s="1"/>
  <c r="J8" i="23" s="1"/>
  <c r="H57" i="10"/>
  <c r="E5" i="16"/>
  <c r="M5" i="16"/>
  <c r="M10" i="16"/>
  <c r="M6" i="16"/>
  <c r="E6" i="16"/>
  <c r="M4" i="16"/>
  <c r="E10" i="16"/>
  <c r="F10" i="16" s="1"/>
  <c r="D11" i="16"/>
  <c r="I12" i="16"/>
  <c r="B10" i="16"/>
  <c r="E30" i="16"/>
  <c r="F30" i="16" s="1"/>
  <c r="D31" i="16"/>
  <c r="K47" i="24" l="1"/>
  <c r="F47" i="24"/>
  <c r="I11" i="23"/>
  <c r="J11" i="23" s="1"/>
  <c r="M11" i="23"/>
  <c r="N11" i="23" s="1"/>
  <c r="M8" i="23"/>
  <c r="N8" i="23" s="1"/>
  <c r="K11" i="23"/>
  <c r="L11" i="23" s="1"/>
  <c r="K8" i="23"/>
  <c r="L8" i="23" s="1"/>
  <c r="D32" i="16"/>
  <c r="E31" i="16"/>
  <c r="F31" i="16" s="1"/>
  <c r="B31" i="16"/>
  <c r="M11" i="16"/>
  <c r="B11" i="16"/>
  <c r="D12" i="16"/>
  <c r="E11" i="16"/>
  <c r="F11" i="16" s="1"/>
  <c r="L12" i="16"/>
  <c r="I13" i="16"/>
  <c r="L13" i="16" s="1"/>
  <c r="D5" i="15"/>
  <c r="E5" i="15" s="1"/>
  <c r="D6" i="15"/>
  <c r="E6" i="15" s="1"/>
  <c r="D7" i="15"/>
  <c r="E7" i="15" s="1"/>
  <c r="D8" i="15"/>
  <c r="E8" i="15" s="1"/>
  <c r="D9" i="15"/>
  <c r="E9" i="15" s="1"/>
  <c r="D10" i="15"/>
  <c r="D11" i="15"/>
  <c r="D12" i="15"/>
  <c r="D13" i="15"/>
  <c r="D4" i="15"/>
  <c r="E4" i="15" s="1"/>
  <c r="C10" i="15"/>
  <c r="C11" i="15" s="1"/>
  <c r="C12" i="15" s="1"/>
  <c r="C13" i="15" s="1"/>
  <c r="E13" i="15" s="1"/>
  <c r="E12" i="15" l="1"/>
  <c r="E10" i="15"/>
  <c r="E11" i="15"/>
  <c r="M12" i="16"/>
  <c r="B12" i="16"/>
  <c r="D13" i="16"/>
  <c r="E12" i="16"/>
  <c r="F12" i="16" s="1"/>
  <c r="D33" i="16"/>
  <c r="B32" i="16"/>
  <c r="E32" i="16"/>
  <c r="F32" i="16" s="1"/>
  <c r="M13" i="16" l="1"/>
  <c r="B13" i="16"/>
  <c r="E13" i="16"/>
  <c r="F13" i="16" s="1"/>
  <c r="B33" i="16"/>
  <c r="E33" i="16"/>
  <c r="F33" i="16" s="1"/>
  <c r="N15" i="14" l="1"/>
  <c r="N13" i="14"/>
  <c r="N11" i="14"/>
  <c r="N9" i="14"/>
  <c r="N7" i="14"/>
  <c r="N6" i="14"/>
  <c r="N8" i="14"/>
  <c r="N10" i="14"/>
  <c r="N12" i="14"/>
  <c r="N14" i="14"/>
  <c r="N16" i="14"/>
  <c r="N5" i="14"/>
  <c r="J6" i="14" l="1"/>
  <c r="F15" i="14" l="1"/>
  <c r="G15" i="14" s="1"/>
  <c r="O15" i="14" s="1"/>
  <c r="F14" i="14"/>
  <c r="G14" i="14" s="1"/>
  <c r="O14" i="14" s="1"/>
  <c r="F13" i="14"/>
  <c r="G13" i="14" s="1"/>
  <c r="O13" i="14" s="1"/>
  <c r="F12" i="14"/>
  <c r="G12" i="14" s="1"/>
  <c r="O12" i="14" s="1"/>
  <c r="L16" i="14"/>
  <c r="L18" i="14" s="1"/>
  <c r="K16" i="14"/>
  <c r="K18" i="14" s="1"/>
  <c r="K19" i="14" s="1"/>
  <c r="K20" i="14" s="1"/>
  <c r="F11" i="14"/>
  <c r="G11" i="14" s="1"/>
  <c r="O11" i="14" s="1"/>
  <c r="J14" i="14"/>
  <c r="F10" i="14"/>
  <c r="G10" i="14" s="1"/>
  <c r="O10" i="14" s="1"/>
  <c r="J12" i="14"/>
  <c r="F9" i="14"/>
  <c r="G9" i="14" s="1"/>
  <c r="O9" i="14" s="1"/>
  <c r="J10" i="14"/>
  <c r="F8" i="14"/>
  <c r="G8" i="14" s="1"/>
  <c r="O8" i="14" s="1"/>
  <c r="J8" i="14"/>
  <c r="F7" i="14"/>
  <c r="G7" i="14" s="1"/>
  <c r="O7" i="14" s="1"/>
  <c r="F6" i="14"/>
  <c r="G6" i="14" s="1"/>
  <c r="O6" i="14" s="1"/>
  <c r="J5" i="14"/>
  <c r="F5" i="14"/>
  <c r="G5" i="14" s="1"/>
  <c r="O5" i="14" s="1"/>
  <c r="J16" i="14" l="1"/>
  <c r="J18" i="14"/>
  <c r="L19" i="14"/>
  <c r="P46" i="8" l="1"/>
  <c r="J19" i="14"/>
  <c r="L20" i="14"/>
  <c r="J20" i="14" s="1"/>
  <c r="D46" i="22" l="1"/>
  <c r="D47" i="8"/>
  <c r="D46" i="21"/>
  <c r="C4" i="5"/>
  <c r="D4" i="8"/>
  <c r="O4" i="8"/>
  <c r="P47" i="8" l="1"/>
  <c r="D49" i="8"/>
  <c r="D55" i="8" s="1"/>
  <c r="D47" i="21"/>
  <c r="P46" i="21"/>
  <c r="P47" i="21" s="1"/>
  <c r="P67" i="21" s="1"/>
  <c r="P68" i="21" s="1"/>
  <c r="D47" i="22"/>
  <c r="P46" i="22"/>
  <c r="M4" i="8"/>
  <c r="I4" i="8"/>
  <c r="E4" i="8"/>
  <c r="H4" i="8"/>
  <c r="K4" i="8"/>
  <c r="G4" i="8"/>
  <c r="L4" i="8"/>
  <c r="N4" i="8"/>
  <c r="J4" i="8"/>
  <c r="F4" i="8"/>
  <c r="L5" i="5"/>
  <c r="J5" i="5"/>
  <c r="H5" i="5"/>
  <c r="D68" i="1"/>
  <c r="C17" i="5"/>
  <c r="P19" i="8"/>
  <c r="P7" i="8"/>
  <c r="P8" i="8"/>
  <c r="P9" i="8"/>
  <c r="P10" i="8"/>
  <c r="P11" i="8"/>
  <c r="P12" i="8"/>
  <c r="P13" i="8"/>
  <c r="P20" i="1"/>
  <c r="P22" i="1"/>
  <c r="E68" i="1"/>
  <c r="F68" i="1"/>
  <c r="G68" i="1"/>
  <c r="H68" i="1"/>
  <c r="I68" i="1"/>
  <c r="J68" i="1"/>
  <c r="K68" i="1"/>
  <c r="L68" i="1"/>
  <c r="M68" i="1"/>
  <c r="N68" i="1"/>
  <c r="O68" i="1"/>
  <c r="P7" i="1"/>
  <c r="P8" i="1"/>
  <c r="P9" i="1"/>
  <c r="P10" i="1"/>
  <c r="P11" i="1"/>
  <c r="P12" i="1"/>
  <c r="P13" i="1"/>
  <c r="E26" i="5"/>
  <c r="E28" i="5"/>
  <c r="P18" i="8"/>
  <c r="P6" i="8"/>
  <c r="P6" i="1"/>
  <c r="C68" i="1"/>
  <c r="P18" i="1"/>
  <c r="C28" i="5"/>
  <c r="P52" i="1"/>
  <c r="C26" i="23" s="1"/>
  <c r="P53" i="1"/>
  <c r="C27" i="23" s="1"/>
  <c r="C19" i="5"/>
  <c r="E19" i="5" s="1"/>
  <c r="C18" i="5"/>
  <c r="C5" i="5"/>
  <c r="P27" i="8" l="1"/>
  <c r="P27" i="1"/>
  <c r="E8" i="23" s="1"/>
  <c r="P15" i="8"/>
  <c r="P15" i="1"/>
  <c r="D9" i="23" s="1"/>
  <c r="G9" i="23" s="1"/>
  <c r="I7" i="22"/>
  <c r="I9" i="22"/>
  <c r="I11" i="22"/>
  <c r="I13" i="22"/>
  <c r="I6" i="22"/>
  <c r="I8" i="22"/>
  <c r="I10" i="22"/>
  <c r="I12" i="22"/>
  <c r="E19" i="22"/>
  <c r="E21" i="22"/>
  <c r="E23" i="22"/>
  <c r="E25" i="22"/>
  <c r="E24" i="22"/>
  <c r="E18" i="22"/>
  <c r="E20" i="22"/>
  <c r="E22" i="22"/>
  <c r="E67" i="8"/>
  <c r="L6" i="22"/>
  <c r="L8" i="22"/>
  <c r="L10" i="22"/>
  <c r="L12" i="22"/>
  <c r="L13" i="22"/>
  <c r="L11" i="22"/>
  <c r="L7" i="22"/>
  <c r="L9" i="22"/>
  <c r="H6" i="22"/>
  <c r="H8" i="22"/>
  <c r="H10" i="22"/>
  <c r="H12" i="22"/>
  <c r="H7" i="22"/>
  <c r="H9" i="22"/>
  <c r="H11" i="22"/>
  <c r="H13" i="22"/>
  <c r="L19" i="22"/>
  <c r="L21" i="22"/>
  <c r="L23" i="22"/>
  <c r="L25" i="22"/>
  <c r="L18" i="22"/>
  <c r="L20" i="22"/>
  <c r="L22" i="22"/>
  <c r="L24" i="22"/>
  <c r="L67" i="8"/>
  <c r="L68" i="8" s="1"/>
  <c r="H19" i="22"/>
  <c r="H21" i="22"/>
  <c r="H23" i="22"/>
  <c r="H25" i="22"/>
  <c r="H18" i="22"/>
  <c r="H20" i="22"/>
  <c r="H22" i="22"/>
  <c r="H24" i="22"/>
  <c r="H67" i="8"/>
  <c r="H68" i="8" s="1"/>
  <c r="I19" i="22"/>
  <c r="I21" i="22"/>
  <c r="I23" i="22"/>
  <c r="I25" i="22"/>
  <c r="I22" i="22"/>
  <c r="I24" i="22"/>
  <c r="I18" i="22"/>
  <c r="I20" i="22"/>
  <c r="I67" i="8"/>
  <c r="I68" i="8" s="1"/>
  <c r="O6" i="22"/>
  <c r="O8" i="22"/>
  <c r="O10" i="22"/>
  <c r="O12" i="22"/>
  <c r="O7" i="22"/>
  <c r="O9" i="22"/>
  <c r="O11" i="22"/>
  <c r="O13" i="22"/>
  <c r="K6" i="22"/>
  <c r="K8" i="22"/>
  <c r="K10" i="22"/>
  <c r="K12" i="22"/>
  <c r="K7" i="22"/>
  <c r="K9" i="22"/>
  <c r="K11" i="22"/>
  <c r="K13" i="22"/>
  <c r="G6" i="22"/>
  <c r="G8" i="22"/>
  <c r="G10" i="22"/>
  <c r="G12" i="22"/>
  <c r="G7" i="22"/>
  <c r="G9" i="22"/>
  <c r="G11" i="22"/>
  <c r="G13" i="22"/>
  <c r="O18" i="22"/>
  <c r="O20" i="22"/>
  <c r="O22" i="22"/>
  <c r="O24" i="22"/>
  <c r="O19" i="22"/>
  <c r="O21" i="22"/>
  <c r="O23" i="22"/>
  <c r="O25" i="22"/>
  <c r="O67" i="8"/>
  <c r="O68" i="8" s="1"/>
  <c r="K18" i="22"/>
  <c r="K20" i="22"/>
  <c r="K22" i="22"/>
  <c r="K24" i="22"/>
  <c r="K25" i="22"/>
  <c r="K19" i="22"/>
  <c r="K21" i="22"/>
  <c r="K23" i="22"/>
  <c r="K67" i="8"/>
  <c r="K68" i="8" s="1"/>
  <c r="G18" i="22"/>
  <c r="G20" i="22"/>
  <c r="G22" i="22"/>
  <c r="G24" i="22"/>
  <c r="G19" i="22"/>
  <c r="G21" i="22"/>
  <c r="G23" i="22"/>
  <c r="G25" i="22"/>
  <c r="G67" i="8"/>
  <c r="G68" i="8" s="1"/>
  <c r="F27" i="23"/>
  <c r="E27" i="23"/>
  <c r="G27" i="23" s="1"/>
  <c r="M7" i="22"/>
  <c r="M9" i="22"/>
  <c r="M11" i="22"/>
  <c r="M13" i="22"/>
  <c r="M6" i="22"/>
  <c r="M8" i="22"/>
  <c r="M10" i="22"/>
  <c r="M12" i="22"/>
  <c r="M19" i="22"/>
  <c r="M21" i="22"/>
  <c r="M23" i="22"/>
  <c r="M25" i="22"/>
  <c r="M20" i="22"/>
  <c r="M22" i="22"/>
  <c r="M24" i="22"/>
  <c r="M18" i="22"/>
  <c r="M67" i="8"/>
  <c r="M68" i="8" s="1"/>
  <c r="N7" i="22"/>
  <c r="N9" i="22"/>
  <c r="N11" i="22"/>
  <c r="N13" i="22"/>
  <c r="N8" i="22"/>
  <c r="N10" i="22"/>
  <c r="N12" i="22"/>
  <c r="N6" i="22"/>
  <c r="J7" i="22"/>
  <c r="J9" i="22"/>
  <c r="J11" i="22"/>
  <c r="J13" i="22"/>
  <c r="J10" i="22"/>
  <c r="J12" i="22"/>
  <c r="J6" i="22"/>
  <c r="J8" i="22"/>
  <c r="F7" i="22"/>
  <c r="F9" i="22"/>
  <c r="F11" i="22"/>
  <c r="F13" i="22"/>
  <c r="F12" i="22"/>
  <c r="F6" i="22"/>
  <c r="F8" i="22"/>
  <c r="F10" i="22"/>
  <c r="J18" i="22"/>
  <c r="J20" i="22"/>
  <c r="J22" i="22"/>
  <c r="J24" i="22"/>
  <c r="J19" i="22"/>
  <c r="J21" i="22"/>
  <c r="J23" i="22"/>
  <c r="J25" i="22"/>
  <c r="J67" i="8"/>
  <c r="J68" i="8" s="1"/>
  <c r="F18" i="22"/>
  <c r="F20" i="22"/>
  <c r="F22" i="22"/>
  <c r="F24" i="22"/>
  <c r="F19" i="22"/>
  <c r="F21" i="22"/>
  <c r="F23" i="22"/>
  <c r="F25" i="22"/>
  <c r="F67" i="8"/>
  <c r="F68" i="8" s="1"/>
  <c r="C20" i="22"/>
  <c r="C24" i="22"/>
  <c r="C19" i="22"/>
  <c r="C21" i="22"/>
  <c r="C25" i="22"/>
  <c r="C23" i="22"/>
  <c r="C22" i="22"/>
  <c r="C18" i="22"/>
  <c r="C67" i="8"/>
  <c r="C68" i="8" s="1"/>
  <c r="C9" i="22"/>
  <c r="C13" i="22"/>
  <c r="C11" i="22"/>
  <c r="C12" i="22"/>
  <c r="C10" i="22"/>
  <c r="C7" i="22"/>
  <c r="C6" i="22"/>
  <c r="C8" i="22"/>
  <c r="D67" i="21"/>
  <c r="D68" i="21" s="1"/>
  <c r="D49" i="21"/>
  <c r="D55" i="21" s="1"/>
  <c r="P49" i="8"/>
  <c r="P55" i="8" s="1"/>
  <c r="D50" i="8"/>
  <c r="P47" i="22"/>
  <c r="D25" i="23" s="1"/>
  <c r="D49" i="22"/>
  <c r="D21" i="22"/>
  <c r="D25" i="22"/>
  <c r="D20" i="22"/>
  <c r="D24" i="22"/>
  <c r="D67" i="8"/>
  <c r="D68" i="8" s="1"/>
  <c r="D19" i="22"/>
  <c r="D23" i="22"/>
  <c r="D18" i="22"/>
  <c r="D22" i="22"/>
  <c r="D7" i="22"/>
  <c r="D11" i="22"/>
  <c r="D6" i="22"/>
  <c r="D10" i="22"/>
  <c r="D9" i="22"/>
  <c r="D13" i="22"/>
  <c r="D8" i="22"/>
  <c r="D12" i="22"/>
  <c r="E6" i="22"/>
  <c r="E7" i="22"/>
  <c r="E8" i="22"/>
  <c r="E9" i="22"/>
  <c r="E10" i="22"/>
  <c r="E11" i="22"/>
  <c r="E12" i="22"/>
  <c r="E13" i="22"/>
  <c r="E68" i="8"/>
  <c r="F26" i="23"/>
  <c r="E26" i="23"/>
  <c r="G26" i="23" s="1"/>
  <c r="N19" i="22"/>
  <c r="N23" i="22"/>
  <c r="N25" i="22"/>
  <c r="N18" i="22"/>
  <c r="N21" i="22"/>
  <c r="N20" i="22"/>
  <c r="N22" i="22"/>
  <c r="N24" i="22"/>
  <c r="N67" i="8"/>
  <c r="N68" i="8" s="1"/>
  <c r="D18" i="5"/>
  <c r="F18" i="5" s="1"/>
  <c r="P34" i="1"/>
  <c r="C25" i="5"/>
  <c r="C26" i="5"/>
  <c r="K49" i="1"/>
  <c r="K55" i="1" s="1"/>
  <c r="F49" i="1"/>
  <c r="F55" i="1" s="1"/>
  <c r="J49" i="1"/>
  <c r="J55" i="1" s="1"/>
  <c r="O49" i="1"/>
  <c r="O55" i="1" s="1"/>
  <c r="E49" i="1"/>
  <c r="E55" i="1" s="1"/>
  <c r="H49" i="1"/>
  <c r="H55" i="1" s="1"/>
  <c r="E17" i="5"/>
  <c r="G49" i="1"/>
  <c r="G55" i="1" s="1"/>
  <c r="L49" i="1"/>
  <c r="L55" i="1" s="1"/>
  <c r="I49" i="1"/>
  <c r="I55" i="1" s="1"/>
  <c r="N49" i="1"/>
  <c r="N55" i="1" s="1"/>
  <c r="M49" i="1"/>
  <c r="M55" i="1" s="1"/>
  <c r="D17" i="5"/>
  <c r="F17" i="5" s="1"/>
  <c r="H7" i="5"/>
  <c r="I7" i="5" s="1"/>
  <c r="F32" i="5"/>
  <c r="C32" i="5" s="1"/>
  <c r="P30" i="1"/>
  <c r="D19" i="5"/>
  <c r="F19" i="5" s="1"/>
  <c r="E18" i="5"/>
  <c r="D49" i="1"/>
  <c r="H10" i="5"/>
  <c r="I10" i="5" s="1"/>
  <c r="J7" i="5"/>
  <c r="K7" i="5" s="1"/>
  <c r="L8" i="5"/>
  <c r="M8" i="5" s="1"/>
  <c r="L7" i="5"/>
  <c r="M7" i="5" s="1"/>
  <c r="L10" i="5"/>
  <c r="M10" i="5" s="1"/>
  <c r="J10" i="5"/>
  <c r="K10" i="5" s="1"/>
  <c r="E10" i="5"/>
  <c r="D8" i="23" l="1"/>
  <c r="G8" i="23" s="1"/>
  <c r="I27" i="22"/>
  <c r="L27" i="22"/>
  <c r="P67" i="1"/>
  <c r="P68" i="1" s="1"/>
  <c r="C24" i="23"/>
  <c r="C29" i="23" s="1"/>
  <c r="D50" i="1"/>
  <c r="E50" i="1" s="1"/>
  <c r="D55" i="1"/>
  <c r="D50" i="22"/>
  <c r="E50" i="22" s="1"/>
  <c r="F50" i="22" s="1"/>
  <c r="G50" i="22" s="1"/>
  <c r="H50" i="22" s="1"/>
  <c r="I50" i="22" s="1"/>
  <c r="J50" i="22" s="1"/>
  <c r="K50" i="22" s="1"/>
  <c r="L50" i="22" s="1"/>
  <c r="M50" i="22" s="1"/>
  <c r="N50" i="22" s="1"/>
  <c r="O50" i="22" s="1"/>
  <c r="D55" i="22"/>
  <c r="E27" i="22"/>
  <c r="J8" i="5"/>
  <c r="K8" i="5" s="1"/>
  <c r="K27" i="22"/>
  <c r="K67" i="22" s="1"/>
  <c r="M27" i="22"/>
  <c r="M67" i="22" s="1"/>
  <c r="O27" i="22"/>
  <c r="O67" i="22" s="1"/>
  <c r="F27" i="22"/>
  <c r="F67" i="22" s="1"/>
  <c r="N27" i="22"/>
  <c r="N67" i="22" s="1"/>
  <c r="D27" i="22"/>
  <c r="D67" i="22" s="1"/>
  <c r="J27" i="22"/>
  <c r="G27" i="22"/>
  <c r="G67" i="22" s="1"/>
  <c r="H27" i="22"/>
  <c r="H67" i="22" s="1"/>
  <c r="C27" i="22"/>
  <c r="C67" i="22" s="1"/>
  <c r="P22" i="22"/>
  <c r="P25" i="22"/>
  <c r="D15" i="22"/>
  <c r="N15" i="22"/>
  <c r="M15" i="22"/>
  <c r="E15" i="22"/>
  <c r="J15" i="22"/>
  <c r="G15" i="22"/>
  <c r="K15" i="22"/>
  <c r="O15" i="22"/>
  <c r="H15" i="22"/>
  <c r="L15" i="22"/>
  <c r="F15" i="22"/>
  <c r="I15" i="22"/>
  <c r="C15" i="22"/>
  <c r="I67" i="22"/>
  <c r="L67" i="22"/>
  <c r="E67" i="22"/>
  <c r="J67" i="22"/>
  <c r="P13" i="22"/>
  <c r="P9" i="22"/>
  <c r="P19" i="22"/>
  <c r="P7" i="22"/>
  <c r="D7" i="5"/>
  <c r="F7" i="5" s="1"/>
  <c r="P24" i="22"/>
  <c r="E9" i="23"/>
  <c r="P23" i="22"/>
  <c r="P11" i="22"/>
  <c r="P20" i="22"/>
  <c r="P21" i="22"/>
  <c r="P10" i="22"/>
  <c r="P12" i="22"/>
  <c r="E50" i="8"/>
  <c r="P49" i="22"/>
  <c r="P55" i="22" s="1"/>
  <c r="P49" i="21"/>
  <c r="P55" i="21" s="1"/>
  <c r="D50" i="21"/>
  <c r="F25" i="23"/>
  <c r="E25" i="23"/>
  <c r="G25" i="23" s="1"/>
  <c r="P8" i="22"/>
  <c r="P6" i="22"/>
  <c r="E24" i="5"/>
  <c r="E31" i="5" s="1"/>
  <c r="P67" i="8"/>
  <c r="P68" i="8" s="1"/>
  <c r="P18" i="22"/>
  <c r="P49" i="1"/>
  <c r="P55" i="1" s="1"/>
  <c r="C24" i="5"/>
  <c r="C27" i="5" s="1"/>
  <c r="C29" i="5" s="1"/>
  <c r="C33" i="5" s="1"/>
  <c r="P37" i="1"/>
  <c r="P39" i="1" s="1"/>
  <c r="E7" i="5"/>
  <c r="E32" i="5"/>
  <c r="H8" i="5"/>
  <c r="I8" i="5" s="1"/>
  <c r="D10" i="5"/>
  <c r="F10" i="5" s="1"/>
  <c r="L12" i="5"/>
  <c r="M12" i="5" s="1"/>
  <c r="D26" i="5"/>
  <c r="D25" i="5"/>
  <c r="J12" i="5"/>
  <c r="K12" i="5" s="1"/>
  <c r="D28" i="5"/>
  <c r="H12" i="5"/>
  <c r="I12" i="5" s="1"/>
  <c r="E68" i="22" l="1"/>
  <c r="J68" i="22"/>
  <c r="P27" i="22"/>
  <c r="D11" i="23" s="1"/>
  <c r="G11" i="23" s="1"/>
  <c r="G68" i="22"/>
  <c r="L68" i="22"/>
  <c r="N68" i="22"/>
  <c r="P15" i="22"/>
  <c r="E12" i="23" s="1"/>
  <c r="H68" i="22"/>
  <c r="I68" i="22"/>
  <c r="F68" i="22"/>
  <c r="O68" i="22"/>
  <c r="M68" i="22"/>
  <c r="K68" i="22"/>
  <c r="C68" i="22"/>
  <c r="E50" i="21"/>
  <c r="F50" i="8"/>
  <c r="D68" i="22"/>
  <c r="F50" i="1"/>
  <c r="C31" i="5"/>
  <c r="D8" i="5"/>
  <c r="F8" i="5" s="1"/>
  <c r="E8" i="5"/>
  <c r="D32" i="5"/>
  <c r="D12" i="5"/>
  <c r="F12" i="5" s="1"/>
  <c r="D24" i="23" l="1"/>
  <c r="E24" i="23" s="1"/>
  <c r="G24" i="23" s="1"/>
  <c r="P67" i="22"/>
  <c r="P68" i="22" s="1"/>
  <c r="E11" i="23"/>
  <c r="D12" i="23"/>
  <c r="G12" i="23" s="1"/>
  <c r="G50" i="8"/>
  <c r="F50" i="21"/>
  <c r="E25" i="5"/>
  <c r="E27" i="5" s="1"/>
  <c r="E29" i="5" s="1"/>
  <c r="E33" i="5" s="1"/>
  <c r="G50" i="1"/>
  <c r="D24" i="5"/>
  <c r="D31" i="5" s="1"/>
  <c r="E12" i="5"/>
  <c r="F24" i="23" l="1"/>
  <c r="D29" i="23"/>
  <c r="G29" i="23" s="1"/>
  <c r="G50" i="21"/>
  <c r="H50" i="8"/>
  <c r="E29" i="23"/>
  <c r="H50" i="1"/>
  <c r="D27" i="5"/>
  <c r="D29" i="5" s="1"/>
  <c r="D33" i="5" s="1"/>
  <c r="F29" i="23" l="1"/>
  <c r="I50" i="8"/>
  <c r="H50" i="21"/>
  <c r="I50" i="1"/>
  <c r="I50" i="21" l="1"/>
  <c r="J50" i="8"/>
  <c r="J50" i="1"/>
  <c r="K50" i="8" l="1"/>
  <c r="J50" i="21"/>
  <c r="K50" i="1"/>
  <c r="K50" i="21" l="1"/>
  <c r="L50" i="8"/>
  <c r="L50" i="1"/>
  <c r="L50" i="21" l="1"/>
  <c r="M50" i="8"/>
  <c r="M50" i="1"/>
  <c r="M50" i="21" l="1"/>
  <c r="N50" i="8"/>
  <c r="N50" i="1"/>
  <c r="O50" i="8" l="1"/>
  <c r="N50" i="21"/>
  <c r="O50" i="1"/>
  <c r="O50" i="21" l="1"/>
</calcChain>
</file>

<file path=xl/sharedStrings.xml><?xml version="1.0" encoding="utf-8"?>
<sst xmlns="http://schemas.openxmlformats.org/spreadsheetml/2006/main" count="997" uniqueCount="316">
  <si>
    <r>
      <rPr>
        <b/>
        <sz val="26"/>
        <color theme="3"/>
        <rFont val="Calibri"/>
        <family val="2"/>
        <scheme val="minor"/>
      </rPr>
      <t>User Input Sheet</t>
    </r>
    <r>
      <rPr>
        <b/>
        <sz val="22"/>
        <color theme="3"/>
        <rFont val="Calibri"/>
        <family val="2"/>
        <scheme val="minor"/>
      </rPr>
      <t xml:space="preserve">
</t>
    </r>
    <r>
      <rPr>
        <i/>
        <sz val="22"/>
        <color theme="3"/>
        <rFont val="Calibri"/>
        <family val="2"/>
        <scheme val="minor"/>
      </rPr>
      <t>(Green Highlighted Cells are Automatic Calculations.  Please Input Data to Blank Cells)</t>
    </r>
  </si>
  <si>
    <t>To Be Used WhenThere Are Non-Accompanying Family Members</t>
  </si>
  <si>
    <r>
      <t xml:space="preserve">User Input 
</t>
    </r>
    <r>
      <rPr>
        <b/>
        <sz val="16"/>
        <color theme="0"/>
        <rFont val="Calibri"/>
        <family val="2"/>
        <scheme val="minor"/>
      </rPr>
      <t>(Entire Family, incl. Non-Accompanying Persons)</t>
    </r>
  </si>
  <si>
    <t>Error Check</t>
  </si>
  <si>
    <t>Arrived Family</t>
  </si>
  <si>
    <t>One Year Window (OYW)</t>
  </si>
  <si>
    <t>Constituent Group Name:</t>
  </si>
  <si>
    <t>Principal Applicant (Full Name):</t>
  </si>
  <si>
    <t>G Number</t>
  </si>
  <si>
    <t>Family Size (Enter Numeric Value):</t>
  </si>
  <si>
    <t>Family Composition (Select from pull-down list)</t>
  </si>
  <si>
    <t>Couple</t>
  </si>
  <si>
    <t>Single or Single Parent</t>
  </si>
  <si>
    <t>Number of Children (Enter Numeric Value)</t>
  </si>
  <si>
    <t>Number of Pre-school Aged Children (Enter Numeric Value)</t>
  </si>
  <si>
    <t>Number of School Aged Children (K-12)(Enter Numeric Value)</t>
  </si>
  <si>
    <t>Number of Children Between the Ages of 18-21 (at Date of Arrival)</t>
  </si>
  <si>
    <t>Number of Individuals age 65 or Older (at Date of Arrival)</t>
  </si>
  <si>
    <t>Month</t>
  </si>
  <si>
    <t>Arrival Date (DD-MMM-YY):</t>
  </si>
  <si>
    <t>Date</t>
  </si>
  <si>
    <t>Monthly Transit Rate in Community of Settlement</t>
  </si>
  <si>
    <t>Rent (Estimated/Actual Monthly Rent)</t>
  </si>
  <si>
    <t>Value of Refugee Personal Assets (brought to Canada)</t>
  </si>
  <si>
    <t>Value of Eligible Personal Assets (directed to Settlement Expenses)</t>
  </si>
  <si>
    <t>Special Allowances</t>
  </si>
  <si>
    <t>If applicable select "Yes"from the drop-down menu</t>
  </si>
  <si>
    <t>How many months required</t>
  </si>
  <si>
    <t>Notes</t>
  </si>
  <si>
    <t>Maternity Food</t>
  </si>
  <si>
    <t>No</t>
  </si>
  <si>
    <t>Doctor's note required to obtain maternity allowance. Cannot exceed 9 months</t>
  </si>
  <si>
    <t>Maternity Clothing</t>
  </si>
  <si>
    <t>N/A</t>
  </si>
  <si>
    <t>Doctor's note required to obtain maternity allowance.</t>
  </si>
  <si>
    <t>Newborn Allowance</t>
  </si>
  <si>
    <t>Baby must be born during Settlement Period</t>
  </si>
  <si>
    <t>Dietary Allowance</t>
  </si>
  <si>
    <t>Requires a doctor's note specifying that there is a medical need for the allowance</t>
  </si>
  <si>
    <t>School Start-Up Allowance (K-12)</t>
  </si>
  <si>
    <t>Number of Installments required. Families who arrive between Sept 1 and May 31 may be eligible to receive the entitlement twice</t>
  </si>
  <si>
    <t>Sponsorship Support</t>
  </si>
  <si>
    <t>Principal Applicant &amp; Family
(Excl. Adult Dependents)</t>
  </si>
  <si>
    <t>Adult Dependent(s)
(Children Between 18-21)</t>
  </si>
  <si>
    <t>Total</t>
  </si>
  <si>
    <t>Annual Total</t>
  </si>
  <si>
    <t>Planned/Actual In-Kind Support Provided</t>
  </si>
  <si>
    <t>Total Net Annual Support Required</t>
  </si>
  <si>
    <t>Start-Up Costs</t>
  </si>
  <si>
    <t>-       Annual Total          -</t>
  </si>
  <si>
    <t>In Kind Maximum Deductions</t>
  </si>
  <si>
    <t>Staple Allowance</t>
  </si>
  <si>
    <t>Basic Clothing Allowance</t>
  </si>
  <si>
    <t>Winter Clothing Allowance</t>
  </si>
  <si>
    <t>Basic Household Needs</t>
  </si>
  <si>
    <t>Furniture Allowance</t>
  </si>
  <si>
    <t>Linens</t>
  </si>
  <si>
    <t>Utility Installation</t>
  </si>
  <si>
    <t>School Start-Up Allowance</t>
  </si>
  <si>
    <t>Total Start-Up</t>
  </si>
  <si>
    <t>Resettlement Assistance Program (RAP)</t>
  </si>
  <si>
    <t>Monthly Cost</t>
  </si>
  <si>
    <t>Monthly Total</t>
  </si>
  <si>
    <t>Basic Needs Allowance</t>
  </si>
  <si>
    <t>Applicable only if refugee is residing with a party to the sponsorship</t>
  </si>
  <si>
    <t>Shelter Allowance</t>
  </si>
  <si>
    <t>Communication Allowance</t>
  </si>
  <si>
    <t>Transportation Allowance</t>
  </si>
  <si>
    <t>Housing Supplement</t>
  </si>
  <si>
    <t>Total RAP</t>
  </si>
  <si>
    <t>School Start-up Allowance (Included in Start-Up)</t>
  </si>
  <si>
    <t>Total Special Allowances</t>
  </si>
  <si>
    <t>TOTAL SUPPORT</t>
  </si>
  <si>
    <t>Less Eligible Personal Assets</t>
  </si>
  <si>
    <t>GRAND TOTAL SUPPORT</t>
  </si>
  <si>
    <t>Net Employment Income Contribution to Expenses Calculator</t>
  </si>
  <si>
    <t>Per Month</t>
  </si>
  <si>
    <r>
      <t xml:space="preserve">Adult Dependent 1
</t>
    </r>
    <r>
      <rPr>
        <b/>
        <i/>
        <sz val="9"/>
        <color theme="3"/>
        <rFont val="Calibri"/>
        <family val="2"/>
        <scheme val="minor"/>
      </rPr>
      <t>(Children Between 18-21)</t>
    </r>
  </si>
  <si>
    <r>
      <t xml:space="preserve">Adult Dependent 2
</t>
    </r>
    <r>
      <rPr>
        <b/>
        <i/>
        <sz val="9"/>
        <color theme="3"/>
        <rFont val="Calibri"/>
        <family val="2"/>
        <scheme val="minor"/>
      </rPr>
      <t>(Children Between 18-21)</t>
    </r>
  </si>
  <si>
    <r>
      <t xml:space="preserve">Adult Dependent 3
</t>
    </r>
    <r>
      <rPr>
        <b/>
        <i/>
        <sz val="9"/>
        <color theme="3"/>
        <rFont val="Calibri"/>
        <family val="2"/>
        <scheme val="minor"/>
      </rPr>
      <t>(Children Between 18-21)</t>
    </r>
  </si>
  <si>
    <r>
      <t xml:space="preserve">Adult Dependent 4
</t>
    </r>
    <r>
      <rPr>
        <b/>
        <i/>
        <sz val="9"/>
        <color theme="3"/>
        <rFont val="Calibri"/>
        <family val="2"/>
        <scheme val="minor"/>
      </rPr>
      <t>(Children Between 18-21)</t>
    </r>
  </si>
  <si>
    <t>Net Monthly Income</t>
  </si>
  <si>
    <t>50% of RAP</t>
  </si>
  <si>
    <t>Net Income Contribution to Newcomer Expenses</t>
  </si>
  <si>
    <t>Financial liabilities based on RAP</t>
  </si>
  <si>
    <t>Family Size</t>
  </si>
  <si>
    <t>Basic RAP</t>
  </si>
  <si>
    <t>Start-up Costs</t>
  </si>
  <si>
    <t xml:space="preserve">Housing </t>
  </si>
  <si>
    <t>Estimated Total Annual Settlement Cost ($)</t>
  </si>
  <si>
    <t>User Input Sheet (Green Highlighted Cells are Automatic Calculations.  Please Input Data to Blank Cells)</t>
  </si>
  <si>
    <t>Summary Report</t>
  </si>
  <si>
    <t>Arrived</t>
  </si>
  <si>
    <t>OYW</t>
  </si>
  <si>
    <t xml:space="preserve">Name of Principal Applicant: </t>
  </si>
  <si>
    <t>Constituent Group (CG) Name:</t>
  </si>
  <si>
    <t>Family Size (Incl. Adult Dependent):</t>
  </si>
  <si>
    <t>Family Size (Excl. Adult Dependent):</t>
  </si>
  <si>
    <t># of Adult Dependent (Children Between 18-21):</t>
  </si>
  <si>
    <t>Monthly</t>
  </si>
  <si>
    <t>Annual</t>
  </si>
  <si>
    <t>In-Kind Support</t>
  </si>
  <si>
    <t>3 monthsRAP</t>
  </si>
  <si>
    <t>3 Months RAP</t>
  </si>
  <si>
    <t>One-Time</t>
  </si>
  <si>
    <t>Sub-Total Sponsorship Cost</t>
  </si>
  <si>
    <t>Value of Eligible Personal Assets (Directed toward Settlement Expenses)</t>
  </si>
  <si>
    <t>Total Sponsorship Cost</t>
  </si>
  <si>
    <t>Installment Amounts</t>
  </si>
  <si>
    <t>1st Installment (includes RAP plus Start-up, excl Special Allowances)</t>
  </si>
  <si>
    <t>2nd Installment (includes RAP plus Start-up, excl Special Allowances)</t>
  </si>
  <si>
    <t>3rd Installment (includes RAP plus Start-up, excl Special Allowances)</t>
  </si>
  <si>
    <t>4th Installment (includes RAP plus Start-up, excl Special Allowances)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</si>
  <si>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The monthly support should be reduced by the amount that the family's net monthly income exceeds 50% of the monthly RAP amount, which is: </t>
    </r>
  </si>
  <si>
    <t>Start-Up Costs for all Provinces (Excluding Quebec)</t>
  </si>
  <si>
    <t>Basic RAP Rate</t>
  </si>
  <si>
    <t>Single</t>
  </si>
  <si>
    <t>Single Adult</t>
  </si>
  <si>
    <t>Adjustment 6-10</t>
  </si>
  <si>
    <t>For each Additional Dependent</t>
  </si>
  <si>
    <t>Senior Recipient (65 or older at time of arrival)</t>
  </si>
  <si>
    <t>In-Kind Deduction Table (Maximim Deduction Available for Non-Seniors)</t>
  </si>
  <si>
    <t>Maximum Allowable In-Kind Support</t>
  </si>
  <si>
    <t>Senior Recipient with No Dependents</t>
  </si>
  <si>
    <t>Couple (1 Senior) With or Without Dependents</t>
  </si>
  <si>
    <t>Couple (2 Seniors) With or Without Dependents</t>
  </si>
  <si>
    <t>Single Senior with Dependents</t>
  </si>
  <si>
    <t>Transportation Allowance (TTC)</t>
  </si>
  <si>
    <t>Shelter</t>
  </si>
  <si>
    <t>Clothing</t>
  </si>
  <si>
    <t>Furniture</t>
  </si>
  <si>
    <t>Start-up Costs (Household Needs)</t>
  </si>
  <si>
    <t>Food Staples</t>
  </si>
  <si>
    <t>Start-Up or RAP</t>
  </si>
  <si>
    <t>Category</t>
  </si>
  <si>
    <t>%</t>
  </si>
  <si>
    <t>RAP</t>
  </si>
  <si>
    <t>Start Up</t>
  </si>
  <si>
    <t>7 or more (for each additional member)</t>
  </si>
  <si>
    <t>Newcomer Assets Brought to Canada</t>
  </si>
  <si>
    <t>Allowance</t>
  </si>
  <si>
    <t>Frequency</t>
  </si>
  <si>
    <t>Asset Retention</t>
  </si>
  <si>
    <t>Monthly (per family)</t>
  </si>
  <si>
    <t>Funeral/Burial Allowance</t>
  </si>
  <si>
    <t>Budget Worksheet</t>
  </si>
  <si>
    <t>BUDGET</t>
  </si>
  <si>
    <t>Start-up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</si>
  <si>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</si>
  <si>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</si>
  <si>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</si>
  <si>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</si>
  <si>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</si>
  <si>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</si>
  <si>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</si>
  <si>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</si>
  <si>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</si>
  <si>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</si>
  <si>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</si>
  <si>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</si>
  <si>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Key</t>
  </si>
  <si>
    <t>Calculated Cells</t>
  </si>
  <si>
    <t>Expenses</t>
  </si>
  <si>
    <t>Enter estimated full cost of expenses as positive values</t>
  </si>
  <si>
    <t>Should include rent and utilities</t>
  </si>
  <si>
    <t>Utilities Installation</t>
  </si>
  <si>
    <t>Hook-up costs (rent, deposit, telephone, utilities, etc.)</t>
  </si>
  <si>
    <t>Consider in-kind donations or purchasing used items</t>
  </si>
  <si>
    <t>Food (Included as part of Basic Needs)</t>
  </si>
  <si>
    <t>Encourage Newcomer to shop at value supermarkets (e.g., No Frills)</t>
  </si>
  <si>
    <t>Transportation</t>
  </si>
  <si>
    <t>Cost of local monthly public transit for adults only (e.g., Metro Pass)</t>
  </si>
  <si>
    <t>Communication</t>
  </si>
  <si>
    <t>May include such things as cell phone and internet</t>
  </si>
  <si>
    <t>Incidentals  (Included as part of Basic Needs)</t>
  </si>
  <si>
    <t>Include all other expenses not captured in above categories (e.g., medicine)</t>
  </si>
  <si>
    <t>Medical Expenses (not covered by OHIP or IFHP)</t>
  </si>
  <si>
    <t>Value of In-Kind Donations</t>
  </si>
  <si>
    <t>Enter estimated value of in-kind donations as positive values</t>
  </si>
  <si>
    <t>This can be provided to the newcomer in cash or in-kind.  Use cost of new item as value of in-kind support.</t>
  </si>
  <si>
    <t>Net Expenses (Expense less value of in-kind donations)</t>
  </si>
  <si>
    <t>Personal Assets</t>
  </si>
  <si>
    <t>Value of Newcomer Assets brought to Canada</t>
  </si>
  <si>
    <t>Value of Newcomer Assets to be directed to Settlement Expenses</t>
  </si>
  <si>
    <t>Employment Income</t>
  </si>
  <si>
    <t>Net Empoyment Income</t>
  </si>
  <si>
    <t xml:space="preserve">Net Employment Income Contributable to Newcomer Expenses (H63) </t>
  </si>
  <si>
    <t xml:space="preserve">Newcomer contribution toward settlement </t>
  </si>
  <si>
    <t>Newcomer Contribution vs Expenses: Surplus/(Deficit)</t>
  </si>
  <si>
    <t>Cumulative Newcomer Contribution vs Expenses: Surplus/(Deficit)</t>
  </si>
  <si>
    <t>Source of Funds (to address deficit)</t>
  </si>
  <si>
    <t>CG/Parish/Cosponsor</t>
  </si>
  <si>
    <t>Enter as positive value</t>
  </si>
  <si>
    <t>Project Hope/Other Fund</t>
  </si>
  <si>
    <t>Funding Shortfall</t>
  </si>
  <si>
    <t>Review</t>
  </si>
  <si>
    <t>Ensure that each month is "Balanced".  The sum of RG/Parish and Project Hope/Other Fund monies should equal the Income vs Expenses surplus/(deficit) line</t>
  </si>
  <si>
    <t>Other Income</t>
  </si>
  <si>
    <t>While the newcomer may choose to direct these benefits towards settlement expenses, the sponsor cannot mandate this.</t>
  </si>
  <si>
    <t>Canada Child Benefit</t>
  </si>
  <si>
    <t>Income Tax Return</t>
  </si>
  <si>
    <t>Ontario Trillium Benefits</t>
  </si>
  <si>
    <t>GST Rebate (Quaterly Amount)</t>
  </si>
  <si>
    <t>Ontario Sales Tax Benefit</t>
  </si>
  <si>
    <t>Ontario Property and Rental Tax Credit</t>
  </si>
  <si>
    <t>Ontario Disability Support Program</t>
  </si>
  <si>
    <t>Other</t>
  </si>
  <si>
    <t>Total Other Income</t>
  </si>
  <si>
    <t>Total Support (In-Kind Support, Assets, Earnings, ORAT Support, Other)</t>
  </si>
  <si>
    <t>Total Support vs Expenses:(Surplus)/Deficit</t>
  </si>
  <si>
    <t>Actuals Worksheet</t>
  </si>
  <si>
    <t>Actual</t>
  </si>
  <si>
    <t>Enter expenses as positive values</t>
  </si>
  <si>
    <t>Total Support vs Expenses: (Surplus)/Deficit</t>
  </si>
  <si>
    <t>Actual vs Budget Variance</t>
  </si>
  <si>
    <t>Positive value means that you have received/used more funds than budgeted</t>
  </si>
  <si>
    <t>Full Year Projection</t>
  </si>
  <si>
    <t>Expense Variance to IRCC RAP Guidelines</t>
  </si>
  <si>
    <r>
      <t xml:space="preserve">Expense Structure </t>
    </r>
    <r>
      <rPr>
        <sz val="20"/>
        <color theme="3"/>
        <rFont val="Calibri"/>
        <family val="2"/>
        <scheme val="minor"/>
      </rPr>
      <t>(% of Official Liability)</t>
    </r>
  </si>
  <si>
    <t>Official Liability</t>
  </si>
  <si>
    <t>Variance
($)</t>
  </si>
  <si>
    <t>Variance
(%)</t>
  </si>
  <si>
    <t>Commentary</t>
  </si>
  <si>
    <r>
      <t xml:space="preserve">Shelter 
</t>
    </r>
    <r>
      <rPr>
        <sz val="10"/>
        <color theme="3"/>
        <rFont val="Calibri"/>
        <family val="2"/>
        <scheme val="minor"/>
      </rPr>
      <t>(% of Total Liability)</t>
    </r>
  </si>
  <si>
    <r>
      <t xml:space="preserve">Clothing 
</t>
    </r>
    <r>
      <rPr>
        <sz val="10"/>
        <color theme="3"/>
        <rFont val="Calibri"/>
        <family val="2"/>
        <scheme val="minor"/>
      </rPr>
      <t>(% of Total Liability)</t>
    </r>
  </si>
  <si>
    <r>
      <t xml:space="preserve">Furniture 
</t>
    </r>
    <r>
      <rPr>
        <sz val="10"/>
        <color theme="3"/>
        <rFont val="Calibri"/>
        <family val="2"/>
        <scheme val="minor"/>
      </rPr>
      <t>(% of Total Liability)</t>
    </r>
  </si>
  <si>
    <t>Family Size (Excl. Adult Dependent)</t>
  </si>
  <si>
    <t>Calculated Cell</t>
  </si>
  <si>
    <t>Adult Dependent</t>
  </si>
  <si>
    <t>Validation Check</t>
  </si>
  <si>
    <t>IRCC RAP Support</t>
  </si>
  <si>
    <t>Budget</t>
  </si>
  <si>
    <t>Variance Budgeted Support to RAP Guideline</t>
  </si>
  <si>
    <t>Includes value of In-Kind Support, Newcomer Assets &amp; Earnings, and Sponsor Financial Support</t>
  </si>
  <si>
    <t>Variance Budgeted Expenses to RAP Guideline</t>
  </si>
  <si>
    <t>Reflects Gross Expenses</t>
  </si>
  <si>
    <t>Variance Projected Support to RAP Guideline</t>
  </si>
  <si>
    <t>Variance Projected Expenses to RAP Guideline</t>
  </si>
  <si>
    <t>Budgeted In-Kind Deduction variance to IRCC In-Kind Deduction Table</t>
  </si>
  <si>
    <t>In-Kind Donation Category</t>
  </si>
  <si>
    <t>Donation Table</t>
  </si>
  <si>
    <t>Budget Variance
($)</t>
  </si>
  <si>
    <t>Budget Variance
(%)</t>
  </si>
  <si>
    <t>Source of Funds</t>
  </si>
  <si>
    <t>Fund Type</t>
  </si>
  <si>
    <t>Projection</t>
  </si>
  <si>
    <t>Projection vs Budget ($)</t>
  </si>
  <si>
    <t>Projection vs Budget (%)</t>
  </si>
  <si>
    <t>Value of In-Kind Support</t>
  </si>
  <si>
    <t>Newcomer Contribution</t>
  </si>
  <si>
    <t>CG/Parish/Cosponsor Contribution</t>
  </si>
  <si>
    <t>Project Hope/Other Fund Contribution</t>
  </si>
  <si>
    <t>Sub Total</t>
  </si>
  <si>
    <t>Expense Variance to IRCC Sponsorship Guidelines</t>
  </si>
  <si>
    <t>IRCC Sponsorship Guidelines</t>
  </si>
  <si>
    <t>Variance Budgeted Expenses to Official Liability</t>
  </si>
  <si>
    <r>
      <t xml:space="preserve">Variance Budgeted </t>
    </r>
    <r>
      <rPr>
        <b/>
        <u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Expenses to Official Liability</t>
    </r>
  </si>
  <si>
    <t>Variance Actual Expenses to Official Liability</t>
  </si>
  <si>
    <t>Variance Expenses to Official Liability</t>
  </si>
  <si>
    <t>RG/Parish</t>
  </si>
  <si>
    <t>Savings</t>
  </si>
  <si>
    <t>Total Used for Settlement</t>
  </si>
  <si>
    <t>Do savings exceed newcomer contribution?</t>
  </si>
  <si>
    <t>Do savings exceed 3 months of expenses?</t>
  </si>
  <si>
    <t>Does the total funding exceed the official liability?</t>
  </si>
  <si>
    <t>Ontario Resettlement Assistance Program (RAP) Rates</t>
  </si>
  <si>
    <t>Sponsorship Cost Table ($)</t>
  </si>
  <si>
    <r>
      <t xml:space="preserve">Monthly income support is intended to cover basic needs such as food, incidentals, shelter, transportation and a communication allowance. Other special allowances may be added on need. </t>
    </r>
    <r>
      <rPr>
        <b/>
        <sz val="11"/>
        <color theme="1"/>
        <rFont val="Calibri"/>
        <family val="2"/>
        <scheme val="minor"/>
      </rPr>
      <t>Please note that the below rates will be in effect as of May 2018.</t>
    </r>
  </si>
  <si>
    <t>Household composition</t>
  </si>
  <si>
    <t>Basic needs allowance</t>
  </si>
  <si>
    <t>Shelter allowance</t>
  </si>
  <si>
    <t>Communication allowance</t>
  </si>
  <si>
    <t>Estimated Monthly Benefit</t>
  </si>
  <si>
    <t>Estimated Annual Benefit</t>
  </si>
  <si>
    <t>12 Month of Income Support</t>
  </si>
  <si>
    <t>FC</t>
  </si>
  <si>
    <t>30/file</t>
  </si>
  <si>
    <t>Single parent plus one child</t>
  </si>
  <si>
    <t xml:space="preserve">Single parent plus two children </t>
  </si>
  <si>
    <t>Couple plus one child</t>
  </si>
  <si>
    <t>Single paren plus three children</t>
  </si>
  <si>
    <t>Couple plus  two children</t>
  </si>
  <si>
    <t>Single parent plus four children</t>
  </si>
  <si>
    <t>Couple plus three children</t>
  </si>
  <si>
    <t xml:space="preserve">Single parent plus five children </t>
  </si>
  <si>
    <t>Couple plus four children</t>
  </si>
  <si>
    <t>Housing Supplement: up to a maximum of $200, may be issued when actual housing expenses exceed the basic shelter allowance.</t>
  </si>
  <si>
    <t>Transportation allowance is provided to each adult as per the rate of public transit in their community. Note: in communities where there is no public transit, a flat transportation rate of $75 is issued.</t>
  </si>
  <si>
    <t>For each additional member, add</t>
  </si>
  <si>
    <t>Start-up costs for all Provinces (excluding Quebec)</t>
  </si>
  <si>
    <r>
      <t>Start-up costs include one-time payment intended to cover the initial COST OF SETTLINGIN Canada (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for BVOR and PRS clients, start-up costs are provided by the sponsor.</t>
    </r>
  </si>
  <si>
    <t>Staple allowance</t>
  </si>
  <si>
    <t>Basic clothing allowance</t>
  </si>
  <si>
    <t>Winter clothing allowance</t>
  </si>
  <si>
    <t>Basic household needs</t>
  </si>
  <si>
    <t>Furniture allowance</t>
  </si>
  <si>
    <t>Linens $80 per person</t>
  </si>
  <si>
    <t>Utility installation ($75 per household)</t>
  </si>
  <si>
    <t>Single parent plus three children</t>
  </si>
  <si>
    <t>6 or more</t>
  </si>
  <si>
    <t>For each additional dependant</t>
  </si>
  <si>
    <t>School start-up allowance:$150/school-aged child per school year while on RAP. Families who arrive between September 1st and May 31st may be eligible to receive the entitlement twice.</t>
  </si>
  <si>
    <t>*The above rates are in effect as of October 2017.</t>
  </si>
  <si>
    <t>www.rstp.ca</t>
  </si>
  <si>
    <t>Financial Liabilities (Cost Table &amp; RAP rate)</t>
  </si>
  <si>
    <t>Financial liabilities for 2018</t>
  </si>
  <si>
    <t>Total Start Up</t>
  </si>
  <si>
    <t>Total Rap</t>
  </si>
  <si>
    <t>Differnce between RAP and Cost table</t>
  </si>
  <si>
    <t>If the refugee family has a child / children over the age of 16 by the time of submitting the case, financial liabilities for “ Family of 1” ($16,300 ) must be added.</t>
  </si>
  <si>
    <t>For cases that have a dependent child over the age of 16 by the time of submission, the cosponsor will be required  to deposit an additional ($16,300 )</t>
  </si>
  <si>
    <t>Ontario Resettlement Assistance Program (RAP) (As at 26-Jan-26)</t>
  </si>
  <si>
    <t>Input</t>
  </si>
  <si>
    <t>Calculated</t>
  </si>
  <si>
    <t>KEY</t>
  </si>
  <si>
    <t>Semi Annual/Annual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</si>
</sst>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&quot;$&quot;#,##0.00"/>
    <numFmt numFmtId="167" formatCode="_(&quot;$&quot;* #,##0_);_(&quot;$&quot;* \(#,##0\);_(&quot;$&quot;* &quot;-&quot;??_);_(@_)"/>
    <numFmt numFmtId="168" formatCode="[$-409]d\-mmm\-yy;@"/>
    <numFmt numFmtId="169" formatCode="[$-409]mmm\-yy;@"/>
    <numFmt numFmtId="170" formatCode="[$-409]mmmm\-yy;@"/>
    <numFmt numFmtId="171" formatCode="&quot;$&quot;#,##0"/>
    <numFmt numFmtId="172" formatCode="[$$-1009]#,##0;\-[$$-1009]#,##0"/>
    <numFmt numFmtId="173" formatCode="[$$-1009]#,##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6"/>
      <color theme="3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i/>
      <sz val="18"/>
      <color theme="3"/>
      <name val="Calibri"/>
      <family val="2"/>
      <scheme val="minor"/>
    </font>
    <font>
      <i/>
      <sz val="22"/>
      <color theme="3"/>
      <name val="Calibri"/>
      <family val="2"/>
      <scheme val="minor"/>
    </font>
    <font>
      <b/>
      <sz val="26"/>
      <color theme="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7F8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4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7" fontId="0" fillId="0" borderId="4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vertical="center"/>
    </xf>
    <xf numFmtId="167" fontId="1" fillId="0" borderId="7" xfId="0" applyNumberFormat="1" applyFont="1" applyBorder="1" applyAlignment="1">
      <alignment vertical="center"/>
    </xf>
    <xf numFmtId="167" fontId="1" fillId="3" borderId="7" xfId="0" applyNumberFormat="1" applyFont="1" applyFill="1" applyBorder="1" applyAlignment="1">
      <alignment vertical="center"/>
    </xf>
    <xf numFmtId="167" fontId="1" fillId="3" borderId="10" xfId="0" applyNumberFormat="1" applyFont="1" applyFill="1" applyBorder="1" applyAlignment="1">
      <alignment vertical="center"/>
    </xf>
    <xf numFmtId="167" fontId="1" fillId="3" borderId="8" xfId="0" applyNumberFormat="1" applyFont="1" applyFill="1" applyBorder="1" applyAlignment="1">
      <alignment vertical="center"/>
    </xf>
    <xf numFmtId="167" fontId="1" fillId="3" borderId="5" xfId="0" applyNumberFormat="1" applyFont="1" applyFill="1" applyBorder="1" applyAlignment="1">
      <alignment vertical="center"/>
    </xf>
    <xf numFmtId="167" fontId="0" fillId="3" borderId="4" xfId="0" applyNumberForma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7" fontId="0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7" fontId="1" fillId="3" borderId="1" xfId="0" applyNumberFormat="1" applyFont="1" applyFill="1" applyBorder="1" applyAlignment="1">
      <alignment vertical="center"/>
    </xf>
    <xf numFmtId="167" fontId="1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67" fontId="0" fillId="0" borderId="0" xfId="1" applyNumberFormat="1" applyFont="1" applyAlignment="1">
      <alignment vertical="center"/>
    </xf>
    <xf numFmtId="0" fontId="1" fillId="0" borderId="16" xfId="0" applyFont="1" applyBorder="1" applyAlignment="1">
      <alignment vertical="center"/>
    </xf>
    <xf numFmtId="167" fontId="0" fillId="0" borderId="4" xfId="0" applyNumberFormat="1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169" fontId="0" fillId="2" borderId="14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9" fontId="0" fillId="3" borderId="17" xfId="2" applyFont="1" applyFill="1" applyBorder="1" applyAlignment="1">
      <alignment horizontal="center" vertical="center"/>
    </xf>
    <xf numFmtId="9" fontId="0" fillId="3" borderId="15" xfId="2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7" fontId="0" fillId="3" borderId="1" xfId="1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17" xfId="0" applyFont="1" applyBorder="1" applyAlignment="1">
      <alignment vertical="center"/>
    </xf>
    <xf numFmtId="167" fontId="0" fillId="3" borderId="0" xfId="0" applyNumberFormat="1" applyFill="1" applyAlignment="1">
      <alignment vertical="center"/>
    </xf>
    <xf numFmtId="9" fontId="0" fillId="3" borderId="0" xfId="2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9" fontId="0" fillId="0" borderId="0" xfId="2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167" fontId="0" fillId="3" borderId="19" xfId="0" applyNumberFormat="1" applyFill="1" applyBorder="1" applyAlignment="1">
      <alignment vertical="center"/>
    </xf>
    <xf numFmtId="9" fontId="0" fillId="3" borderId="19" xfId="2" applyFont="1" applyFill="1" applyBorder="1" applyAlignment="1">
      <alignment vertical="center"/>
    </xf>
    <xf numFmtId="167" fontId="0" fillId="3" borderId="0" xfId="1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165" fontId="1" fillId="3" borderId="8" xfId="0" applyNumberFormat="1" applyFont="1" applyFill="1" applyBorder="1" applyAlignment="1">
      <alignment vertical="center"/>
    </xf>
    <xf numFmtId="165" fontId="0" fillId="3" borderId="0" xfId="1" applyFont="1" applyFill="1" applyBorder="1" applyAlignment="1">
      <alignment vertical="center"/>
    </xf>
    <xf numFmtId="165" fontId="0" fillId="3" borderId="0" xfId="0" applyNumberFormat="1" applyFill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5" borderId="0" xfId="0" applyFill="1"/>
    <xf numFmtId="167" fontId="1" fillId="3" borderId="1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3" fillId="5" borderId="0" xfId="0" applyFont="1" applyFill="1"/>
    <xf numFmtId="0" fontId="0" fillId="5" borderId="0" xfId="0" applyFill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71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0" fillId="5" borderId="19" xfId="0" applyFill="1" applyBorder="1"/>
    <xf numFmtId="0" fontId="0" fillId="0" borderId="19" xfId="0" applyBorder="1"/>
    <xf numFmtId="0" fontId="0" fillId="0" borderId="13" xfId="0" applyBorder="1"/>
    <xf numFmtId="17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0" fillId="0" borderId="0" xfId="0" applyFont="1" applyAlignment="1">
      <alignment vertical="center"/>
    </xf>
    <xf numFmtId="171" fontId="0" fillId="0" borderId="0" xfId="0" applyNumberFormat="1"/>
    <xf numFmtId="0" fontId="9" fillId="2" borderId="17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67" fontId="1" fillId="0" borderId="18" xfId="0" applyNumberFormat="1" applyFont="1" applyBorder="1" applyAlignment="1">
      <alignment vertical="center"/>
    </xf>
    <xf numFmtId="167" fontId="1" fillId="0" borderId="2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0" fontId="0" fillId="7" borderId="1" xfId="0" applyFill="1" applyBorder="1" applyAlignment="1">
      <alignment horizontal="center" vertical="center"/>
    </xf>
    <xf numFmtId="167" fontId="0" fillId="7" borderId="1" xfId="1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7" fontId="0" fillId="9" borderId="1" xfId="0" applyNumberForma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167" fontId="0" fillId="0" borderId="1" xfId="4" applyNumberFormat="1" applyFont="1" applyBorder="1" applyAlignment="1">
      <alignment vertical="center"/>
    </xf>
    <xf numFmtId="167" fontId="0" fillId="8" borderId="1" xfId="4" applyNumberFormat="1" applyFont="1" applyFill="1" applyBorder="1" applyAlignment="1">
      <alignment vertical="center"/>
    </xf>
    <xf numFmtId="167" fontId="0" fillId="0" borderId="1" xfId="4" applyNumberFormat="1" applyFont="1" applyFill="1" applyBorder="1" applyAlignment="1">
      <alignment vertical="center"/>
    </xf>
    <xf numFmtId="167" fontId="0" fillId="6" borderId="1" xfId="0" applyNumberFormat="1" applyFill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4" applyNumberFormat="1" applyFont="1" applyFill="1" applyBorder="1" applyAlignment="1">
      <alignment vertical="center"/>
    </xf>
    <xf numFmtId="167" fontId="0" fillId="0" borderId="0" xfId="4" applyNumberFormat="1" applyFont="1" applyBorder="1" applyAlignment="1">
      <alignment vertical="center"/>
    </xf>
    <xf numFmtId="167" fontId="0" fillId="6" borderId="0" xfId="0" applyNumberFormat="1" applyFill="1" applyAlignment="1">
      <alignment vertical="center"/>
    </xf>
    <xf numFmtId="0" fontId="4" fillId="0" borderId="14" xfId="0" applyFont="1" applyBorder="1" applyAlignment="1">
      <alignment vertical="center" wrapText="1"/>
    </xf>
    <xf numFmtId="167" fontId="0" fillId="0" borderId="14" xfId="4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7" fontId="13" fillId="0" borderId="1" xfId="4" applyNumberFormat="1" applyFont="1" applyBorder="1" applyAlignment="1">
      <alignment vertical="center"/>
    </xf>
    <xf numFmtId="0" fontId="25" fillId="0" borderId="1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9" fontId="27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9" fontId="27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1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67" fontId="0" fillId="0" borderId="3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7" fontId="21" fillId="3" borderId="1" xfId="1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3" borderId="1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49" fontId="34" fillId="0" borderId="0" xfId="0" applyNumberFormat="1" applyFont="1" applyAlignment="1" applyProtection="1">
      <alignment vertical="center"/>
      <protection locked="0"/>
    </xf>
    <xf numFmtId="49" fontId="34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top" wrapText="1"/>
      <protection locked="0"/>
    </xf>
    <xf numFmtId="0" fontId="34" fillId="0" borderId="0" xfId="0" applyFont="1" applyAlignment="1">
      <alignment vertical="top" wrapText="1"/>
    </xf>
    <xf numFmtId="0" fontId="34" fillId="0" borderId="0" xfId="0" applyFont="1" applyAlignment="1" applyProtection="1">
      <alignment vertical="center"/>
      <protection locked="0"/>
    </xf>
    <xf numFmtId="0" fontId="34" fillId="0" borderId="0" xfId="0" applyFont="1" applyAlignment="1">
      <alignment vertical="center" wrapText="1"/>
    </xf>
    <xf numFmtId="167" fontId="1" fillId="3" borderId="21" xfId="0" applyNumberFormat="1" applyFont="1" applyFill="1" applyBorder="1" applyAlignment="1">
      <alignment vertical="center"/>
    </xf>
    <xf numFmtId="167" fontId="23" fillId="3" borderId="1" xfId="0" applyNumberFormat="1" applyFont="1" applyFill="1" applyBorder="1" applyAlignment="1">
      <alignment vertical="center"/>
    </xf>
    <xf numFmtId="167" fontId="0" fillId="3" borderId="10" xfId="1" applyNumberFormat="1" applyFont="1" applyFill="1" applyBorder="1" applyAlignment="1">
      <alignment vertical="center"/>
    </xf>
    <xf numFmtId="167" fontId="21" fillId="3" borderId="10" xfId="1" applyNumberFormat="1" applyFont="1" applyFill="1" applyBorder="1" applyAlignment="1">
      <alignment vertical="center"/>
    </xf>
    <xf numFmtId="167" fontId="1" fillId="3" borderId="5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1" applyNumberFormat="1" applyFont="1" applyAlignment="1" applyProtection="1">
      <alignment vertical="center" wrapText="1"/>
      <protection locked="0"/>
    </xf>
    <xf numFmtId="0" fontId="23" fillId="2" borderId="1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34" fillId="0" borderId="0" xfId="0" applyFont="1" applyAlignment="1" applyProtection="1">
      <alignment vertical="top" wrapText="1"/>
      <protection locked="0"/>
    </xf>
    <xf numFmtId="9" fontId="1" fillId="3" borderId="8" xfId="2" applyFont="1" applyFill="1" applyBorder="1" applyAlignment="1">
      <alignment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67" fontId="0" fillId="0" borderId="1" xfId="1" applyNumberFormat="1" applyFont="1" applyFill="1" applyBorder="1" applyAlignment="1" applyProtection="1">
      <alignment vertical="center"/>
      <protection locked="0"/>
    </xf>
    <xf numFmtId="167" fontId="0" fillId="0" borderId="12" xfId="1" applyNumberFormat="1" applyFont="1" applyFill="1" applyBorder="1" applyAlignment="1" applyProtection="1">
      <alignment vertical="center"/>
      <protection locked="0"/>
    </xf>
    <xf numFmtId="167" fontId="0" fillId="0" borderId="1" xfId="1" applyNumberFormat="1" applyFont="1" applyBorder="1" applyAlignment="1" applyProtection="1">
      <alignment vertical="center"/>
      <protection locked="0"/>
    </xf>
    <xf numFmtId="167" fontId="0" fillId="0" borderId="10" xfId="1" applyNumberFormat="1" applyFont="1" applyBorder="1" applyAlignment="1" applyProtection="1">
      <alignment vertical="center"/>
      <protection locked="0"/>
    </xf>
    <xf numFmtId="167" fontId="1" fillId="5" borderId="12" xfId="0" applyNumberFormat="1" applyFont="1" applyFill="1" applyBorder="1" applyAlignment="1" applyProtection="1">
      <alignment vertical="center"/>
      <protection locked="0"/>
    </xf>
    <xf numFmtId="167" fontId="0" fillId="0" borderId="12" xfId="0" applyNumberFormat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167" fontId="0" fillId="5" borderId="1" xfId="1" applyNumberFormat="1" applyFont="1" applyFill="1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167" fontId="0" fillId="0" borderId="8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167" fontId="1" fillId="0" borderId="9" xfId="1" applyNumberFormat="1" applyFont="1" applyBorder="1" applyAlignment="1">
      <alignment vertical="center"/>
    </xf>
    <xf numFmtId="167" fontId="1" fillId="0" borderId="0" xfId="1" applyNumberFormat="1" applyFont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1" fillId="7" borderId="3" xfId="0" applyNumberFormat="1" applyFont="1" applyFill="1" applyBorder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165" fontId="1" fillId="0" borderId="8" xfId="1" applyFont="1" applyBorder="1" applyAlignment="1">
      <alignment vertical="center"/>
    </xf>
    <xf numFmtId="165" fontId="1" fillId="0" borderId="9" xfId="1" applyFont="1" applyBorder="1" applyAlignment="1">
      <alignment vertical="center"/>
    </xf>
    <xf numFmtId="167" fontId="0" fillId="3" borderId="12" xfId="0" applyNumberFormat="1" applyFill="1" applyBorder="1" applyAlignment="1">
      <alignment vertical="center"/>
    </xf>
    <xf numFmtId="167" fontId="1" fillId="3" borderId="0" xfId="0" applyNumberFormat="1" applyFont="1" applyFill="1" applyAlignment="1">
      <alignment vertical="center"/>
    </xf>
    <xf numFmtId="167" fontId="1" fillId="3" borderId="12" xfId="0" applyNumberFormat="1" applyFont="1" applyFill="1" applyBorder="1" applyAlignment="1" applyProtection="1">
      <alignment vertical="center"/>
      <protection locked="0"/>
    </xf>
    <xf numFmtId="167" fontId="0" fillId="3" borderId="4" xfId="0" applyNumberFormat="1" applyFill="1" applyBorder="1" applyAlignment="1" applyProtection="1">
      <alignment vertical="center"/>
      <protection locked="0"/>
    </xf>
    <xf numFmtId="172" fontId="0" fillId="3" borderId="0" xfId="1" applyNumberFormat="1" applyFont="1" applyFill="1" applyAlignment="1">
      <alignment vertical="center"/>
    </xf>
    <xf numFmtId="172" fontId="1" fillId="3" borderId="3" xfId="1" applyNumberFormat="1" applyFont="1" applyFill="1" applyBorder="1" applyAlignment="1">
      <alignment vertical="center"/>
    </xf>
    <xf numFmtId="172" fontId="1" fillId="3" borderId="0" xfId="1" applyNumberFormat="1" applyFont="1" applyFill="1" applyAlignment="1">
      <alignment vertical="center"/>
    </xf>
    <xf numFmtId="172" fontId="0" fillId="0" borderId="1" xfId="1" applyNumberFormat="1" applyFont="1" applyFill="1" applyBorder="1" applyAlignment="1" applyProtection="1">
      <alignment horizontal="right" vertical="center"/>
      <protection locked="0"/>
    </xf>
    <xf numFmtId="172" fontId="0" fillId="0" borderId="10" xfId="1" applyNumberFormat="1" applyFont="1" applyFill="1" applyBorder="1" applyAlignment="1" applyProtection="1">
      <alignment horizontal="right" vertical="center"/>
      <protection locked="0"/>
    </xf>
    <xf numFmtId="172" fontId="1" fillId="3" borderId="3" xfId="1" applyNumberFormat="1" applyFont="1" applyFill="1" applyBorder="1" applyAlignment="1">
      <alignment horizontal="right" vertical="center"/>
    </xf>
    <xf numFmtId="172" fontId="0" fillId="3" borderId="0" xfId="1" applyNumberFormat="1" applyFont="1" applyFill="1" applyAlignment="1">
      <alignment horizontal="right" vertical="center"/>
    </xf>
    <xf numFmtId="164" fontId="1" fillId="3" borderId="0" xfId="1" applyNumberFormat="1" applyFont="1" applyFill="1" applyAlignment="1">
      <alignment horizontal="right" vertical="center"/>
    </xf>
    <xf numFmtId="164" fontId="1" fillId="3" borderId="3" xfId="1" applyNumberFormat="1" applyFont="1" applyFill="1" applyBorder="1" applyAlignment="1">
      <alignment horizontal="right" vertical="center"/>
    </xf>
    <xf numFmtId="172" fontId="6" fillId="3" borderId="0" xfId="1" applyNumberFormat="1" applyFont="1" applyFill="1" applyAlignment="1">
      <alignment vertical="center"/>
    </xf>
    <xf numFmtId="0" fontId="7" fillId="10" borderId="1" xfId="0" applyFont="1" applyFill="1" applyBorder="1" applyAlignment="1">
      <alignment horizontal="center" vertical="center"/>
    </xf>
    <xf numFmtId="0" fontId="28" fillId="10" borderId="0" xfId="0" applyFont="1" applyFill="1" applyAlignment="1">
      <alignment vertical="center"/>
    </xf>
    <xf numFmtId="173" fontId="0" fillId="3" borderId="0" xfId="1" applyNumberFormat="1" applyFont="1" applyFill="1" applyAlignment="1">
      <alignment horizontal="right" vertical="center"/>
    </xf>
    <xf numFmtId="173" fontId="1" fillId="3" borderId="9" xfId="1" applyNumberFormat="1" applyFont="1" applyFill="1" applyBorder="1" applyAlignment="1">
      <alignment horizontal="right" vertical="center"/>
    </xf>
    <xf numFmtId="173" fontId="1" fillId="3" borderId="0" xfId="1" applyNumberFormat="1" applyFont="1" applyFill="1" applyAlignment="1">
      <alignment horizontal="right" vertical="center"/>
    </xf>
    <xf numFmtId="173" fontId="1" fillId="3" borderId="8" xfId="0" applyNumberFormat="1" applyFont="1" applyFill="1" applyBorder="1" applyAlignment="1">
      <alignment horizontal="right" vertical="center"/>
    </xf>
    <xf numFmtId="173" fontId="6" fillId="3" borderId="0" xfId="1" applyNumberFormat="1" applyFont="1" applyFill="1" applyAlignment="1">
      <alignment vertical="center"/>
    </xf>
    <xf numFmtId="173" fontId="1" fillId="3" borderId="3" xfId="1" applyNumberFormat="1" applyFont="1" applyFill="1" applyBorder="1" applyAlignment="1">
      <alignment vertical="center"/>
    </xf>
    <xf numFmtId="173" fontId="1" fillId="3" borderId="8" xfId="0" applyNumberFormat="1" applyFont="1" applyFill="1" applyBorder="1" applyAlignment="1">
      <alignment vertical="center"/>
    </xf>
    <xf numFmtId="173" fontId="0" fillId="3" borderId="0" xfId="0" applyNumberFormat="1" applyFill="1" applyAlignment="1">
      <alignment horizontal="right" vertical="center"/>
    </xf>
    <xf numFmtId="0" fontId="1" fillId="10" borderId="8" xfId="0" applyFont="1" applyFill="1" applyBorder="1" applyAlignment="1">
      <alignment vertical="center"/>
    </xf>
    <xf numFmtId="0" fontId="1" fillId="10" borderId="0" xfId="0" applyFont="1" applyFill="1" applyAlignment="1">
      <alignment vertical="center"/>
    </xf>
    <xf numFmtId="0" fontId="0" fillId="10" borderId="4" xfId="0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0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7" fillId="10" borderId="10" xfId="0" applyFont="1" applyFill="1" applyBorder="1" applyAlignment="1">
      <alignment vertical="center"/>
    </xf>
    <xf numFmtId="0" fontId="7" fillId="10" borderId="2" xfId="0" applyFont="1" applyFill="1" applyBorder="1" applyAlignment="1">
      <alignment vertical="center"/>
    </xf>
    <xf numFmtId="0" fontId="7" fillId="10" borderId="4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vertical="center"/>
    </xf>
    <xf numFmtId="0" fontId="30" fillId="10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8" fontId="1" fillId="0" borderId="2" xfId="0" applyNumberFormat="1" applyFont="1" applyBorder="1" applyAlignment="1" applyProtection="1">
      <alignment horizontal="center" vertical="center"/>
      <protection locked="0"/>
    </xf>
    <xf numFmtId="165" fontId="1" fillId="0" borderId="2" xfId="1" applyFont="1" applyFill="1" applyBorder="1" applyAlignment="1" applyProtection="1">
      <alignment horizontal="center" vertical="center"/>
      <protection locked="0"/>
    </xf>
    <xf numFmtId="165" fontId="1" fillId="3" borderId="2" xfId="1" applyFont="1" applyFill="1" applyBorder="1" applyAlignment="1" applyProtection="1">
      <alignment horizontal="center" vertical="center"/>
    </xf>
    <xf numFmtId="0" fontId="35" fillId="10" borderId="10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0" fillId="10" borderId="9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28" fillId="10" borderId="17" xfId="0" applyFont="1" applyFill="1" applyBorder="1" applyAlignment="1">
      <alignment vertical="center"/>
    </xf>
    <xf numFmtId="0" fontId="28" fillId="10" borderId="18" xfId="0" applyFont="1" applyFill="1" applyBorder="1" applyAlignment="1">
      <alignment vertical="center"/>
    </xf>
    <xf numFmtId="0" fontId="0" fillId="10" borderId="15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4" fillId="10" borderId="2" xfId="0" applyFont="1" applyFill="1" applyBorder="1" applyAlignment="1">
      <alignment vertical="center" wrapText="1"/>
    </xf>
    <xf numFmtId="0" fontId="29" fillId="10" borderId="11" xfId="0" applyFont="1" applyFill="1" applyBorder="1" applyAlignment="1">
      <alignment horizontal="left" vertical="center"/>
    </xf>
    <xf numFmtId="0" fontId="29" fillId="10" borderId="15" xfId="0" applyFont="1" applyFill="1" applyBorder="1" applyAlignment="1">
      <alignment horizontal="left" vertical="center"/>
    </xf>
    <xf numFmtId="0" fontId="29" fillId="10" borderId="19" xfId="0" applyFont="1" applyFill="1" applyBorder="1" applyAlignment="1">
      <alignment horizontal="left" vertical="center"/>
    </xf>
    <xf numFmtId="0" fontId="29" fillId="10" borderId="13" xfId="0" applyFont="1" applyFill="1" applyBorder="1" applyAlignment="1">
      <alignment horizontal="left" vertical="center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0" fontId="13" fillId="12" borderId="3" xfId="0" applyFont="1" applyFill="1" applyBorder="1" applyAlignment="1">
      <alignment vertical="center"/>
    </xf>
    <xf numFmtId="0" fontId="19" fillId="1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7" fontId="0" fillId="0" borderId="8" xfId="1" applyNumberFormat="1" applyFont="1" applyBorder="1" applyAlignment="1">
      <alignment vertical="center"/>
    </xf>
    <xf numFmtId="0" fontId="36" fillId="11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165" fontId="1" fillId="0" borderId="0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13" borderId="1" xfId="0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/>
    </xf>
    <xf numFmtId="165" fontId="1" fillId="13" borderId="1" xfId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 vertical="center"/>
    </xf>
    <xf numFmtId="165" fontId="1" fillId="0" borderId="3" xfId="1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168" fontId="1" fillId="13" borderId="1" xfId="0" applyNumberFormat="1" applyFont="1" applyFill="1" applyBorder="1" applyAlignment="1" applyProtection="1">
      <alignment horizontal="center" vertical="center"/>
      <protection locked="0"/>
    </xf>
    <xf numFmtId="165" fontId="1" fillId="13" borderId="1" xfId="1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68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center" vertical="center"/>
    </xf>
    <xf numFmtId="165" fontId="1" fillId="0" borderId="0" xfId="1" applyFont="1" applyFill="1" applyBorder="1" applyAlignment="1" applyProtection="1">
      <alignment horizontal="center" vertical="center"/>
    </xf>
    <xf numFmtId="0" fontId="38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68" fontId="1" fillId="3" borderId="2" xfId="0" applyNumberFormat="1" applyFont="1" applyFill="1" applyBorder="1" applyAlignment="1" applyProtection="1">
      <alignment horizontal="center" vertical="center"/>
      <protection locked="0"/>
    </xf>
    <xf numFmtId="165" fontId="1" fillId="3" borderId="2" xfId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168" fontId="1" fillId="3" borderId="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0" fillId="3" borderId="1" xfId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7" borderId="1" xfId="1" applyFont="1" applyFill="1" applyBorder="1" applyAlignment="1">
      <alignment vertical="center"/>
    </xf>
    <xf numFmtId="165" fontId="0" fillId="13" borderId="1" xfId="1" applyFont="1" applyFill="1" applyBorder="1" applyAlignment="1">
      <alignment vertical="center"/>
    </xf>
    <xf numFmtId="167" fontId="0" fillId="13" borderId="1" xfId="1" applyNumberFormat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20" fillId="13" borderId="0" xfId="0" applyFont="1" applyFill="1" applyAlignment="1">
      <alignment vertical="center"/>
    </xf>
    <xf numFmtId="0" fontId="36" fillId="13" borderId="10" xfId="0" applyFont="1" applyFill="1" applyBorder="1" applyAlignment="1">
      <alignment horizontal="center" vertical="center" wrapText="1"/>
    </xf>
    <xf numFmtId="0" fontId="36" fillId="13" borderId="20" xfId="0" applyFont="1" applyFill="1" applyBorder="1" applyAlignment="1">
      <alignment horizontal="center" vertical="center" wrapText="1"/>
    </xf>
    <xf numFmtId="0" fontId="36" fillId="13" borderId="14" xfId="0" applyFont="1" applyFill="1" applyBorder="1" applyAlignment="1">
      <alignment horizontal="center" vertical="center" wrapText="1"/>
    </xf>
    <xf numFmtId="0" fontId="36" fillId="11" borderId="10" xfId="0" applyFont="1" applyFill="1" applyBorder="1" applyAlignment="1">
      <alignment horizontal="center" vertical="center" wrapText="1"/>
    </xf>
    <xf numFmtId="0" fontId="36" fillId="11" borderId="20" xfId="0" applyFont="1" applyFill="1" applyBorder="1" applyAlignment="1">
      <alignment horizontal="center" vertical="center" wrapText="1"/>
    </xf>
    <xf numFmtId="0" fontId="36" fillId="11" borderId="14" xfId="0" applyFont="1" applyFill="1" applyBorder="1" applyAlignment="1">
      <alignment horizontal="center" vertical="center" wrapText="1"/>
    </xf>
    <xf numFmtId="0" fontId="40" fillId="12" borderId="17" xfId="0" applyFont="1" applyFill="1" applyBorder="1" applyAlignment="1">
      <alignment horizontal="center" vertical="center" wrapText="1"/>
    </xf>
    <xf numFmtId="0" fontId="40" fillId="12" borderId="0" xfId="0" applyFont="1" applyFill="1" applyAlignment="1">
      <alignment horizontal="center" vertical="center" wrapText="1"/>
    </xf>
    <xf numFmtId="0" fontId="36" fillId="13" borderId="17" xfId="0" applyFont="1" applyFill="1" applyBorder="1" applyAlignment="1">
      <alignment horizontal="center" vertical="center" wrapText="1"/>
    </xf>
    <xf numFmtId="0" fontId="36" fillId="13" borderId="15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left" vertical="center" wrapText="1"/>
    </xf>
    <xf numFmtId="0" fontId="14" fillId="10" borderId="12" xfId="0" applyFont="1" applyFill="1" applyBorder="1" applyAlignment="1">
      <alignment horizontal="left" vertical="center" wrapText="1"/>
    </xf>
    <xf numFmtId="0" fontId="14" fillId="10" borderId="15" xfId="0" applyFont="1" applyFill="1" applyBorder="1" applyAlignment="1">
      <alignment horizontal="left" vertical="center" wrapText="1"/>
    </xf>
    <xf numFmtId="0" fontId="14" fillId="10" borderId="13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2" xfId="0" quotePrefix="1" applyFont="1" applyFill="1" applyBorder="1" applyAlignment="1">
      <alignment horizontal="right" vertical="center" wrapText="1"/>
    </xf>
    <xf numFmtId="0" fontId="7" fillId="10" borderId="4" xfId="0" applyFont="1" applyFill="1" applyBorder="1" applyAlignment="1">
      <alignment horizontal="right" vertical="center" wrapText="1"/>
    </xf>
    <xf numFmtId="0" fontId="42" fillId="10" borderId="2" xfId="0" applyFont="1" applyFill="1" applyBorder="1" applyAlignment="1">
      <alignment horizontal="center" vertical="center"/>
    </xf>
    <xf numFmtId="0" fontId="42" fillId="10" borderId="3" xfId="0" applyFont="1" applyFill="1" applyBorder="1" applyAlignment="1">
      <alignment horizontal="center" vertical="center"/>
    </xf>
    <xf numFmtId="0" fontId="42" fillId="10" borderId="4" xfId="0" applyFont="1" applyFill="1" applyBorder="1" applyAlignment="1">
      <alignment horizontal="center" vertical="center"/>
    </xf>
    <xf numFmtId="0" fontId="41" fillId="10" borderId="2" xfId="0" applyFont="1" applyFill="1" applyBorder="1" applyAlignment="1">
      <alignment horizontal="center" vertical="center"/>
    </xf>
    <xf numFmtId="0" fontId="41" fillId="10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left" vertical="center" wrapText="1"/>
    </xf>
    <xf numFmtId="0" fontId="2" fillId="12" borderId="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4" fontId="1" fillId="0" borderId="0" xfId="0" applyNumberFormat="1" applyFont="1" applyAlignment="1">
      <alignment horizontal="center" vertical="center"/>
    </xf>
    <xf numFmtId="0" fontId="0" fillId="5" borderId="2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9" fontId="0" fillId="3" borderId="2" xfId="2" applyFont="1" applyFill="1" applyBorder="1" applyAlignment="1">
      <alignment horizontal="center" vertical="center"/>
    </xf>
    <xf numFmtId="9" fontId="0" fillId="3" borderId="4" xfId="2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1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13" fillId="2" borderId="2" xfId="0" applyFont="1" applyFill="1" applyBorder="1"/>
    <xf numFmtId="0" fontId="0" fillId="0" borderId="1" xfId="0" applyBorder="1" applyAlignment="1">
      <alignment horizontal="center"/>
    </xf>
    <xf numFmtId="0" fontId="0" fillId="5" borderId="9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7" fontId="0" fillId="0" borderId="1" xfId="1" applyNumberFormat="1" applyFont="1" applyBorder="1" applyAlignment="1">
      <alignment vertical="center"/>
    </xf>
    <xf numFmtId="0" fontId="13" fillId="2" borderId="1" xfId="0" applyFont="1" applyFill="1" applyBorder="1"/>
    <xf numFmtId="0" fontId="0" fillId="2" borderId="1" xfId="0" applyFill="1" applyBorder="1"/>
    <xf numFmtId="0" fontId="0" fillId="5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4" fillId="0" borderId="2" xfId="3" applyBorder="1" applyAlignment="1"/>
    <xf numFmtId="0" fontId="0" fillId="7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</cellXfs>
  <cellStyles count="5">
    <cellStyle name="Currency" xfId="1" builtinId="4"/>
    <cellStyle name="Currency 2" xfId="4" xr:uid="{00000000-0005-0000-0000-000001000000}"/>
    <cellStyle name="Hyperlink" xfId="3" builtinId="8"/>
    <cellStyle name="Normal" xfId="0" builtinId="0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18</xdr:col>
          <xdr:colOff>104775</xdr:colOff>
          <xdr:row>47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43</xdr:row>
          <xdr:rowOff>9525</xdr:rowOff>
        </xdr:from>
        <xdr:to>
          <xdr:col>18</xdr:col>
          <xdr:colOff>152400</xdr:colOff>
          <xdr:row>65</xdr:row>
          <xdr:rowOff>161925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2082799</xdr:colOff>
      <xdr:row>10</xdr:row>
      <xdr:rowOff>157093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819321" y="27799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1242391</xdr:colOff>
      <xdr:row>13</xdr:row>
      <xdr:rowOff>41412</xdr:rowOff>
    </xdr:from>
    <xdr:to>
      <xdr:col>6</xdr:col>
      <xdr:colOff>441738</xdr:colOff>
      <xdr:row>18</xdr:row>
      <xdr:rowOff>27609</xdr:rowOff>
    </xdr:to>
    <xdr:sp macro="" textlink="">
      <xdr:nvSpPr>
        <xdr:cNvPr id="3" name="Multiply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52826" y="3437282"/>
          <a:ext cx="5825434" cy="1587501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1145761</xdr:colOff>
      <xdr:row>2</xdr:row>
      <xdr:rowOff>138044</xdr:rowOff>
    </xdr:from>
    <xdr:to>
      <xdr:col>13</xdr:col>
      <xdr:colOff>897283</xdr:colOff>
      <xdr:row>12</xdr:row>
      <xdr:rowOff>13804</xdr:rowOff>
    </xdr:to>
    <xdr:sp macro="" textlink="">
      <xdr:nvSpPr>
        <xdr:cNvPr id="4" name="Multiply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1015870" y="745435"/>
          <a:ext cx="4859130" cy="2470978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2082799</xdr:colOff>
      <xdr:row>23</xdr:row>
      <xdr:rowOff>157093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3319538" y="32906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24</xdr:row>
      <xdr:rowOff>157093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25</xdr:row>
      <xdr:rowOff>157093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28</xdr:row>
      <xdr:rowOff>157093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13319538" y="562361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24</xdr:row>
      <xdr:rowOff>157093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13327247" y="49938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25</xdr:row>
      <xdr:rowOff>157093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13327247" y="49938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13327247" y="49938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3125846" y="56190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27</xdr:row>
      <xdr:rowOff>157093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13125846" y="59316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26</xdr:row>
      <xdr:rowOff>157093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13125846" y="56190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2082799</xdr:colOff>
      <xdr:row>27</xdr:row>
      <xdr:rowOff>157093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13125846" y="59316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001%20ORAT%20-%20Office%20For%20Refugees\002%20Outreach%20Dept\Resources\Budget%20&amp;%20Actual%20Reporting\RG%20Budget%20Workbook%20(2016%20IRCC%20Guidelin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 Guide"/>
      <sheetName val="Initial User Input"/>
      <sheetName val="Budget"/>
      <sheetName val="Actuals"/>
      <sheetName val="Actuals vs Budget &amp; Projection"/>
      <sheetName val="Variance to IRCC Guidelines "/>
      <sheetName val="Sponsorship Table"/>
      <sheetName val="In-Kind Donation Table"/>
    </sheetNames>
    <sheetDataSet>
      <sheetData sheetId="0"/>
      <sheetData sheetId="1"/>
      <sheetData sheetId="2">
        <row r="6">
          <cell r="P6">
            <v>0</v>
          </cell>
        </row>
        <row r="8">
          <cell r="P8">
            <v>0</v>
          </cell>
        </row>
        <row r="10">
          <cell r="P10">
            <v>0</v>
          </cell>
        </row>
        <row r="17">
          <cell r="P17">
            <v>0</v>
          </cell>
        </row>
        <row r="19">
          <cell r="P19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</sheetData>
      <sheetData sheetId="3">
        <row r="6">
          <cell r="P6">
            <v>0</v>
          </cell>
        </row>
        <row r="8">
          <cell r="P8">
            <v>0</v>
          </cell>
        </row>
        <row r="10">
          <cell r="P10">
            <v>0</v>
          </cell>
        </row>
      </sheetData>
      <sheetData sheetId="4">
        <row r="35">
          <cell r="P35">
            <v>0</v>
          </cell>
        </row>
      </sheetData>
      <sheetData sheetId="5"/>
      <sheetData sheetId="6"/>
      <sheetData sheetId="7">
        <row r="1">
          <cell r="A1" t="str">
            <v>In-Kind Deduction Table ($)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I1" t="str">
            <v>Official Liability</v>
          </cell>
          <cell r="K1" t="str">
            <v>As a Percent of Official Liability</v>
          </cell>
          <cell r="L1">
            <v>0</v>
          </cell>
          <cell r="M1">
            <v>0</v>
          </cell>
        </row>
        <row r="2">
          <cell r="I2">
            <v>0</v>
          </cell>
        </row>
        <row r="3">
          <cell r="A3" t="str">
            <v>Family Size</v>
          </cell>
          <cell r="B3" t="str">
            <v>Shelter</v>
          </cell>
          <cell r="C3" t="str">
            <v>Clothing</v>
          </cell>
          <cell r="D3" t="str">
            <v>Furniture</v>
          </cell>
          <cell r="E3" t="str">
            <v>Start-Up Costs 
(hhld needs)</v>
          </cell>
          <cell r="F3" t="str">
            <v>Food Staples</v>
          </cell>
          <cell r="G3" t="str">
            <v>School Start-up Costs</v>
          </cell>
          <cell r="I3">
            <v>0</v>
          </cell>
          <cell r="K3" t="str">
            <v>Shelter</v>
          </cell>
          <cell r="L3" t="str">
            <v>Clothing</v>
          </cell>
          <cell r="M3" t="str">
            <v>Furniture</v>
          </cell>
        </row>
        <row r="4">
          <cell r="A4">
            <v>1</v>
          </cell>
          <cell r="B4">
            <v>6000</v>
          </cell>
          <cell r="C4">
            <v>500</v>
          </cell>
          <cell r="D4">
            <v>1500</v>
          </cell>
          <cell r="E4">
            <v>325</v>
          </cell>
          <cell r="F4">
            <v>175</v>
          </cell>
          <cell r="G4" t="str">
            <v>$150 per child between the age of 4-21</v>
          </cell>
          <cell r="I4">
            <v>12600</v>
          </cell>
          <cell r="K4">
            <v>0.47619047619047616</v>
          </cell>
          <cell r="L4">
            <v>3.968253968253968E-2</v>
          </cell>
          <cell r="M4">
            <v>0.11904761904761904</v>
          </cell>
        </row>
        <row r="5">
          <cell r="A5">
            <v>2</v>
          </cell>
          <cell r="B5">
            <v>7100</v>
          </cell>
          <cell r="C5">
            <v>1000</v>
          </cell>
          <cell r="D5">
            <v>2000</v>
          </cell>
          <cell r="E5">
            <v>350</v>
          </cell>
          <cell r="F5">
            <v>250</v>
          </cell>
          <cell r="G5">
            <v>0</v>
          </cell>
          <cell r="I5">
            <v>21200</v>
          </cell>
          <cell r="K5">
            <v>0.33490566037735847</v>
          </cell>
          <cell r="L5">
            <v>4.716981132075472E-2</v>
          </cell>
          <cell r="M5">
            <v>9.4339622641509441E-2</v>
          </cell>
        </row>
        <row r="6">
          <cell r="A6">
            <v>3</v>
          </cell>
          <cell r="B6">
            <v>7800</v>
          </cell>
          <cell r="C6">
            <v>1375</v>
          </cell>
          <cell r="D6">
            <v>2500</v>
          </cell>
          <cell r="E6">
            <v>375</v>
          </cell>
          <cell r="F6">
            <v>325</v>
          </cell>
          <cell r="G6">
            <v>0</v>
          </cell>
          <cell r="I6">
            <v>23000</v>
          </cell>
          <cell r="K6">
            <v>0.33913043478260868</v>
          </cell>
          <cell r="L6">
            <v>5.9782608695652176E-2</v>
          </cell>
          <cell r="M6">
            <v>0.10869565217391304</v>
          </cell>
        </row>
        <row r="7">
          <cell r="A7">
            <v>4</v>
          </cell>
          <cell r="B7">
            <v>8400</v>
          </cell>
          <cell r="C7">
            <v>1750</v>
          </cell>
          <cell r="D7">
            <v>3000</v>
          </cell>
          <cell r="E7">
            <v>400</v>
          </cell>
          <cell r="F7">
            <v>400</v>
          </cell>
          <cell r="G7">
            <v>0</v>
          </cell>
          <cell r="I7">
            <v>27000</v>
          </cell>
          <cell r="J7">
            <v>0</v>
          </cell>
          <cell r="K7">
            <v>0.31111111111111112</v>
          </cell>
          <cell r="L7">
            <v>6.4814814814814811E-2</v>
          </cell>
          <cell r="M7">
            <v>0.1111111111111111</v>
          </cell>
        </row>
        <row r="8">
          <cell r="A8">
            <v>5</v>
          </cell>
          <cell r="B8">
            <v>9600</v>
          </cell>
          <cell r="C8">
            <v>2125</v>
          </cell>
          <cell r="D8">
            <v>3500</v>
          </cell>
          <cell r="E8">
            <v>425</v>
          </cell>
          <cell r="F8">
            <v>475</v>
          </cell>
          <cell r="G8">
            <v>0</v>
          </cell>
          <cell r="I8">
            <v>29700</v>
          </cell>
          <cell r="J8">
            <v>0</v>
          </cell>
          <cell r="K8">
            <v>0.32323232323232326</v>
          </cell>
          <cell r="L8">
            <v>7.1548821548821542E-2</v>
          </cell>
          <cell r="M8">
            <v>0.11784511784511785</v>
          </cell>
        </row>
        <row r="9">
          <cell r="A9">
            <v>6</v>
          </cell>
          <cell r="B9">
            <v>9600</v>
          </cell>
          <cell r="C9">
            <v>2500</v>
          </cell>
          <cell r="D9">
            <v>4000</v>
          </cell>
          <cell r="E9">
            <v>450</v>
          </cell>
          <cell r="F9">
            <v>550</v>
          </cell>
          <cell r="G9">
            <v>0</v>
          </cell>
          <cell r="I9">
            <v>32500</v>
          </cell>
          <cell r="J9">
            <v>0</v>
          </cell>
          <cell r="K9">
            <v>0.29538461538461541</v>
          </cell>
          <cell r="L9">
            <v>7.6923076923076927E-2</v>
          </cell>
          <cell r="M9">
            <v>0.12307692307692308</v>
          </cell>
        </row>
        <row r="10">
          <cell r="A10">
            <v>7</v>
          </cell>
          <cell r="B10">
            <v>10500</v>
          </cell>
          <cell r="C10">
            <v>2875</v>
          </cell>
          <cell r="D10">
            <v>4500</v>
          </cell>
          <cell r="E10">
            <v>475</v>
          </cell>
          <cell r="F10">
            <v>625</v>
          </cell>
          <cell r="G10">
            <v>0</v>
          </cell>
          <cell r="I10">
            <v>35050</v>
          </cell>
          <cell r="J10">
            <v>0</v>
          </cell>
          <cell r="K10">
            <v>0.29957203994293868</v>
          </cell>
          <cell r="L10">
            <v>8.2025677603423677E-2</v>
          </cell>
          <cell r="M10">
            <v>0.12838801711840228</v>
          </cell>
        </row>
        <row r="11">
          <cell r="A11">
            <v>8</v>
          </cell>
          <cell r="B11">
            <v>11400</v>
          </cell>
          <cell r="C11">
            <v>3250</v>
          </cell>
          <cell r="D11">
            <v>5000</v>
          </cell>
          <cell r="E11">
            <v>500</v>
          </cell>
          <cell r="F11">
            <v>700</v>
          </cell>
          <cell r="G11">
            <v>0</v>
          </cell>
          <cell r="I11">
            <v>37600</v>
          </cell>
          <cell r="J11">
            <v>0</v>
          </cell>
          <cell r="K11">
            <v>0.30319148936170215</v>
          </cell>
          <cell r="L11">
            <v>8.6436170212765964E-2</v>
          </cell>
          <cell r="M11">
            <v>0.13297872340425532</v>
          </cell>
        </row>
        <row r="12">
          <cell r="A12">
            <v>9</v>
          </cell>
          <cell r="B12">
            <v>12300</v>
          </cell>
          <cell r="C12">
            <v>3625</v>
          </cell>
          <cell r="D12">
            <v>5500</v>
          </cell>
          <cell r="E12">
            <v>525</v>
          </cell>
          <cell r="F12">
            <v>775</v>
          </cell>
          <cell r="G12">
            <v>0</v>
          </cell>
          <cell r="I12">
            <v>40150</v>
          </cell>
          <cell r="J12">
            <v>0</v>
          </cell>
          <cell r="K12">
            <v>0.30635118306351183</v>
          </cell>
          <cell r="L12">
            <v>9.0286425902864259E-2</v>
          </cell>
          <cell r="M12">
            <v>0.13698630136986301</v>
          </cell>
        </row>
        <row r="13">
          <cell r="A13">
            <v>10</v>
          </cell>
          <cell r="B13">
            <v>13200</v>
          </cell>
          <cell r="C13">
            <v>4000</v>
          </cell>
          <cell r="D13">
            <v>6000</v>
          </cell>
          <cell r="E13">
            <v>550</v>
          </cell>
          <cell r="F13">
            <v>850</v>
          </cell>
          <cell r="G13">
            <v>0</v>
          </cell>
          <cell r="I13">
            <v>42700</v>
          </cell>
          <cell r="J13">
            <v>0</v>
          </cell>
          <cell r="K13">
            <v>0.30913348946135832</v>
          </cell>
          <cell r="L13">
            <v>9.3676814988290405E-2</v>
          </cell>
          <cell r="M13">
            <v>0.14051522248243559</v>
          </cell>
        </row>
        <row r="14"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For each additional member, add</v>
          </cell>
          <cell r="B15">
            <v>900</v>
          </cell>
          <cell r="C15">
            <v>375</v>
          </cell>
          <cell r="D15">
            <v>500</v>
          </cell>
          <cell r="E15">
            <v>25</v>
          </cell>
          <cell r="F15">
            <v>75</v>
          </cell>
          <cell r="G15">
            <v>0</v>
          </cell>
          <cell r="I15">
            <v>2550</v>
          </cell>
          <cell r="J15">
            <v>0</v>
          </cell>
          <cell r="K15">
            <v>0.35294117647058826</v>
          </cell>
          <cell r="L15">
            <v>0.14705882352941177</v>
          </cell>
          <cell r="M15">
            <v>0.19607843137254902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rstp.ca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99"/>
  <sheetViews>
    <sheetView zoomScale="70" zoomScaleNormal="70" workbookViewId="0">
      <selection activeCell="AE53" sqref="AE53"/>
    </sheetView>
  </sheetViews>
  <sheetFormatPr defaultRowHeight="15" x14ac:dyDescent="0.25"/>
  <cols>
    <col min="1" max="1" width="19.85546875" customWidth="1"/>
    <col min="12" max="12" width="9.140625" customWidth="1"/>
    <col min="21" max="21" width="2.5703125" customWidth="1"/>
  </cols>
  <sheetData>
    <row r="1" ht="7.5" customHeight="1" x14ac:dyDescent="0.25"/>
    <row r="99" ht="18" customHeight="1" x14ac:dyDescent="0.25"/>
  </sheetData>
  <sheetProtection algorithmName="SHA-512" hashValue="sWUC1CiU2Cc+GOTtrUxPtw3bq9+tdKEfAbN3pyzcRbR1UDlHyB1bdP/Rn7cXXNfRqJfb+LGIa4JAU686XCgW8w==" saltValue="Qyu4D1pKItGyCIpDvd+YnA==" spinCount="100000" sheet="1" objects="1" scenarios="1"/>
  <pageMargins left="0.25" right="0.25" top="0.75" bottom="0.75" header="0.3" footer="0.3"/>
  <pageSetup scale="5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18</xdr:col>
                <xdr:colOff>104775</xdr:colOff>
                <xdr:row>47</xdr:row>
                <xdr:rowOff>95250</xdr:rowOff>
              </to>
            </anchor>
          </objectPr>
        </oleObject>
      </mc:Choice>
      <mc:Fallback>
        <oleObject progId="Word.Document.12" shapeId="1026" r:id="rId4"/>
      </mc:Fallback>
    </mc:AlternateContent>
    <mc:AlternateContent xmlns:mc="http://schemas.openxmlformats.org/markup-compatibility/2006">
      <mc:Choice Requires="x14">
        <oleObject progId="Word.Document.12" shapeId="1027" r:id="rId6">
          <objectPr defaultSize="0" autoPict="0" r:id="rId7">
            <anchor moveWithCells="1">
              <from>
                <xdr:col>0</xdr:col>
                <xdr:colOff>47625</xdr:colOff>
                <xdr:row>43</xdr:row>
                <xdr:rowOff>9525</xdr:rowOff>
              </from>
              <to>
                <xdr:col>18</xdr:col>
                <xdr:colOff>152400</xdr:colOff>
                <xdr:row>65</xdr:row>
                <xdr:rowOff>161925</xdr:rowOff>
              </to>
            </anchor>
          </objectPr>
        </oleObject>
      </mc:Choice>
      <mc:Fallback>
        <oleObject progId="Word.Document.12" shapeId="1027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9"/>
  <sheetViews>
    <sheetView zoomScale="78" zoomScaleNormal="78" workbookViewId="0">
      <pane xSplit="2" ySplit="4" topLeftCell="C5" activePane="bottomRight" state="frozen"/>
      <selection pane="topRight" activeCell="H42" sqref="H42"/>
      <selection pane="bottomLeft" activeCell="H42" sqref="H42"/>
      <selection pane="bottomRight" activeCell="B1" sqref="B1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1.5703125" style="1" customWidth="1"/>
    <col min="17" max="17" width="1.42578125" style="1" customWidth="1"/>
    <col min="18" max="18" width="49.5703125" style="21" customWidth="1"/>
    <col min="19" max="16384" width="9.140625" style="1"/>
  </cols>
  <sheetData>
    <row r="1" spans="1:18" ht="28.5" x14ac:dyDescent="0.25">
      <c r="A1" s="4" t="s">
        <v>214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1, GNumber:</v>
      </c>
      <c r="D1" s="5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3.75" customHeight="1" x14ac:dyDescent="0.25"/>
    <row r="3" spans="1:18" ht="18.75" customHeight="1" x14ac:dyDescent="0.25">
      <c r="A3" s="357"/>
      <c r="B3" s="359"/>
      <c r="C3" s="393" t="s">
        <v>147</v>
      </c>
      <c r="D3" s="54" t="s">
        <v>148</v>
      </c>
      <c r="E3" s="48" t="s">
        <v>149</v>
      </c>
      <c r="F3" s="48" t="s">
        <v>150</v>
      </c>
      <c r="G3" s="48" t="s">
        <v>151</v>
      </c>
      <c r="H3" s="48" t="s">
        <v>152</v>
      </c>
      <c r="I3" s="48" t="s">
        <v>153</v>
      </c>
      <c r="J3" s="48" t="s">
        <v>154</v>
      </c>
      <c r="K3" s="48" t="s">
        <v>155</v>
      </c>
      <c r="L3" s="48" t="s">
        <v>156</v>
      </c>
      <c r="M3" s="48" t="s">
        <v>157</v>
      </c>
      <c r="N3" s="48" t="s">
        <v>158</v>
      </c>
      <c r="O3" s="48" t="s">
        <v>159</v>
      </c>
      <c r="P3" s="48" t="s">
        <v>44</v>
      </c>
      <c r="R3" s="22" t="s">
        <v>160</v>
      </c>
    </row>
    <row r="4" spans="1:18" ht="23.25" customHeight="1" x14ac:dyDescent="0.25">
      <c r="A4" s="363"/>
      <c r="B4" s="365"/>
      <c r="C4" s="394"/>
      <c r="D4" s="55">
        <f>IF('User Input Sheet'!$C$14&gt;0, 'User Input Sheet'!C14, "")</f>
        <v>44166</v>
      </c>
      <c r="E4" s="55">
        <f>IF('User Input Sheet'!$C$14&gt;0, 'User Input Sheet'!U14, "")</f>
        <v>44197</v>
      </c>
      <c r="F4" s="55">
        <f>IF('User Input Sheet'!$C$14&gt;0, 'User Input Sheet'!V14, "")</f>
        <v>44228</v>
      </c>
      <c r="G4" s="55">
        <f>IF('User Input Sheet'!$C$14&gt;0, 'User Input Sheet'!W14, "")</f>
        <v>44256</v>
      </c>
      <c r="H4" s="55">
        <f>IF('User Input Sheet'!$C$14&gt;0, 'User Input Sheet'!X14, "")</f>
        <v>44287</v>
      </c>
      <c r="I4" s="55">
        <f>IF('User Input Sheet'!$C$14&gt;0, 'User Input Sheet'!Y14, "")</f>
        <v>44317</v>
      </c>
      <c r="J4" s="55">
        <f>IF('User Input Sheet'!$C$14&gt;0, 'User Input Sheet'!Z14, "")</f>
        <v>44348</v>
      </c>
      <c r="K4" s="55">
        <f>IF('User Input Sheet'!$C$14&gt;0, 'User Input Sheet'!AA14, "")</f>
        <v>44378</v>
      </c>
      <c r="L4" s="55">
        <f>IF('User Input Sheet'!$C$14&gt;0, 'User Input Sheet'!AB14, "")</f>
        <v>44409</v>
      </c>
      <c r="M4" s="55">
        <f>IF('User Input Sheet'!$C$14&gt;0, 'User Input Sheet'!AC14, "")</f>
        <v>44440</v>
      </c>
      <c r="N4" s="55">
        <f>IF('User Input Sheet'!$C$14&gt;0, 'User Input Sheet'!AD14, "")</f>
        <v>44470</v>
      </c>
      <c r="O4" s="55">
        <f>IF('User Input Sheet'!$C$14&gt;0, 'User Input Sheet'!AE14, "")</f>
        <v>44501</v>
      </c>
      <c r="P4" s="49"/>
      <c r="R4" s="23" t="s">
        <v>161</v>
      </c>
    </row>
    <row r="5" spans="1:18" ht="18.75" x14ac:dyDescent="0.25">
      <c r="A5" s="12" t="s">
        <v>162</v>
      </c>
      <c r="B5" s="2"/>
      <c r="C5" s="2"/>
      <c r="D5" s="2"/>
      <c r="E5" s="2"/>
      <c r="F5" s="2"/>
      <c r="G5" s="2"/>
      <c r="R5" s="21" t="s">
        <v>215</v>
      </c>
    </row>
    <row r="6" spans="1:18" x14ac:dyDescent="0.25">
      <c r="A6" s="8"/>
      <c r="B6" s="7" t="s">
        <v>128</v>
      </c>
      <c r="C6" s="20">
        <f>Budget!C6-Actuals!C6</f>
        <v>0</v>
      </c>
      <c r="D6" s="20">
        <f>Budget!D6-Actuals!D6</f>
        <v>1082</v>
      </c>
      <c r="E6" s="20">
        <f>Budget!E6-Actuals!E6</f>
        <v>1082</v>
      </c>
      <c r="F6" s="20">
        <f>Budget!F6-Actuals!F6</f>
        <v>1082</v>
      </c>
      <c r="G6" s="20">
        <f>Budget!G6-Actuals!G6</f>
        <v>1082</v>
      </c>
      <c r="H6" s="20">
        <f>Budget!H6-Actuals!H6</f>
        <v>1082</v>
      </c>
      <c r="I6" s="20">
        <f>Budget!I6-Actuals!I6</f>
        <v>1082</v>
      </c>
      <c r="J6" s="20">
        <f>Budget!J6-Actuals!J6</f>
        <v>1082</v>
      </c>
      <c r="K6" s="20">
        <f>Budget!K6-Actuals!K6</f>
        <v>1082</v>
      </c>
      <c r="L6" s="20">
        <f>Budget!L6-Actuals!L6</f>
        <v>1082</v>
      </c>
      <c r="M6" s="20">
        <f>Budget!M6-Actuals!M6</f>
        <v>1082</v>
      </c>
      <c r="N6" s="20">
        <f>Budget!N6-Actuals!N6</f>
        <v>1082</v>
      </c>
      <c r="O6" s="20">
        <f>Budget!O6-Actuals!O6</f>
        <v>1082</v>
      </c>
      <c r="P6" s="37">
        <f t="shared" ref="P6:P13" si="0">SUM(C6:O6)</f>
        <v>12984</v>
      </c>
    </row>
    <row r="7" spans="1:18" x14ac:dyDescent="0.25">
      <c r="A7" s="8"/>
      <c r="B7" s="7" t="s">
        <v>165</v>
      </c>
      <c r="C7" s="20">
        <f>Budget!C7-Actuals!C7</f>
        <v>84.56</v>
      </c>
      <c r="D7" s="20">
        <f>Budget!D7-Actuals!D7</f>
        <v>0</v>
      </c>
      <c r="E7" s="20">
        <f>Budget!E7-Actuals!E7</f>
        <v>0</v>
      </c>
      <c r="F7" s="20">
        <f>Budget!F7-Actuals!F7</f>
        <v>0</v>
      </c>
      <c r="G7" s="20">
        <f>Budget!G7-Actuals!G7</f>
        <v>0</v>
      </c>
      <c r="H7" s="20">
        <f>Budget!H7-Actuals!H7</f>
        <v>0</v>
      </c>
      <c r="I7" s="20">
        <f>Budget!I7-Actuals!I7</f>
        <v>0</v>
      </c>
      <c r="J7" s="20">
        <f>Budget!J7-Actuals!J7</f>
        <v>0</v>
      </c>
      <c r="K7" s="20">
        <f>Budget!K7-Actuals!K7</f>
        <v>0</v>
      </c>
      <c r="L7" s="20">
        <f>Budget!L7-Actuals!L7</f>
        <v>0</v>
      </c>
      <c r="M7" s="20">
        <f>Budget!M7-Actuals!M7</f>
        <v>0</v>
      </c>
      <c r="N7" s="20">
        <f>Budget!N7-Actuals!N7</f>
        <v>0</v>
      </c>
      <c r="O7" s="20">
        <f>Budget!O7-Actuals!O7</f>
        <v>0</v>
      </c>
      <c r="P7" s="37">
        <f t="shared" si="0"/>
        <v>84.56</v>
      </c>
    </row>
    <row r="8" spans="1:18" x14ac:dyDescent="0.25">
      <c r="A8" s="8"/>
      <c r="B8" s="7" t="s">
        <v>130</v>
      </c>
      <c r="C8" s="20">
        <f>Budget!C8-Actuals!C8</f>
        <v>1634.15</v>
      </c>
      <c r="D8" s="20">
        <f>Budget!D8-Actuals!D8</f>
        <v>0</v>
      </c>
      <c r="E8" s="20">
        <f>Budget!E8-Actuals!E8</f>
        <v>0</v>
      </c>
      <c r="F8" s="20">
        <f>Budget!F8-Actuals!F8</f>
        <v>0</v>
      </c>
      <c r="G8" s="20">
        <f>Budget!G8-Actuals!G8</f>
        <v>0</v>
      </c>
      <c r="H8" s="20">
        <f>Budget!H8-Actuals!H8</f>
        <v>0</v>
      </c>
      <c r="I8" s="20">
        <f>Budget!I8-Actuals!I8</f>
        <v>0</v>
      </c>
      <c r="J8" s="20">
        <f>Budget!J8-Actuals!J8</f>
        <v>0</v>
      </c>
      <c r="K8" s="20">
        <f>Budget!K8-Actuals!K8</f>
        <v>0</v>
      </c>
      <c r="L8" s="20">
        <f>Budget!L8-Actuals!L8</f>
        <v>0</v>
      </c>
      <c r="M8" s="20">
        <f>Budget!M8-Actuals!M8</f>
        <v>0</v>
      </c>
      <c r="N8" s="20">
        <f>Budget!N8-Actuals!N8</f>
        <v>0</v>
      </c>
      <c r="O8" s="20">
        <f>Budget!O8-Actuals!O8</f>
        <v>0</v>
      </c>
      <c r="P8" s="37">
        <f t="shared" si="0"/>
        <v>1634.15</v>
      </c>
    </row>
    <row r="9" spans="1:18" x14ac:dyDescent="0.25">
      <c r="A9" s="8"/>
      <c r="B9" s="7" t="s">
        <v>168</v>
      </c>
      <c r="C9" s="20">
        <f>Budget!C9-Actuals!C9</f>
        <v>245.74</v>
      </c>
      <c r="D9" s="20">
        <f>Budget!D9-Actuals!D9</f>
        <v>786</v>
      </c>
      <c r="E9" s="20">
        <f>Budget!E9-Actuals!E9</f>
        <v>786</v>
      </c>
      <c r="F9" s="20">
        <f>Budget!F9-Actuals!F9</f>
        <v>786</v>
      </c>
      <c r="G9" s="20">
        <f>Budget!G9-Actuals!G9</f>
        <v>786</v>
      </c>
      <c r="H9" s="20">
        <f>Budget!H9-Actuals!H9</f>
        <v>786</v>
      </c>
      <c r="I9" s="20">
        <f>Budget!I9-Actuals!I9</f>
        <v>786</v>
      </c>
      <c r="J9" s="20">
        <f>Budget!J9-Actuals!J9</f>
        <v>786</v>
      </c>
      <c r="K9" s="20">
        <f>Budget!K9-Actuals!K9</f>
        <v>786</v>
      </c>
      <c r="L9" s="20">
        <f>Budget!L9-Actuals!L9</f>
        <v>786</v>
      </c>
      <c r="M9" s="20">
        <f>Budget!M9-Actuals!M9</f>
        <v>786</v>
      </c>
      <c r="N9" s="20">
        <f>Budget!N9-Actuals!N9</f>
        <v>786</v>
      </c>
      <c r="O9" s="20">
        <f>Budget!O9-Actuals!O9</f>
        <v>786</v>
      </c>
      <c r="P9" s="37">
        <f t="shared" si="0"/>
        <v>9677.74</v>
      </c>
    </row>
    <row r="10" spans="1:18" x14ac:dyDescent="0.25">
      <c r="A10" s="8"/>
      <c r="B10" s="7" t="s">
        <v>129</v>
      </c>
      <c r="C10" s="20">
        <f>Budget!C10-Actuals!C10</f>
        <v>563.45000000000005</v>
      </c>
      <c r="D10" s="20">
        <f>Budget!D10-Actuals!D10</f>
        <v>0</v>
      </c>
      <c r="E10" s="20">
        <f>Budget!E10-Actuals!E10</f>
        <v>0</v>
      </c>
      <c r="F10" s="20">
        <f>Budget!F10-Actuals!F10</f>
        <v>0</v>
      </c>
      <c r="G10" s="20">
        <f>Budget!G10-Actuals!G10</f>
        <v>0</v>
      </c>
      <c r="H10" s="20">
        <f>Budget!H10-Actuals!H10</f>
        <v>0</v>
      </c>
      <c r="I10" s="20">
        <f>Budget!I10-Actuals!I10</f>
        <v>0</v>
      </c>
      <c r="J10" s="20">
        <f>Budget!J10-Actuals!J10</f>
        <v>0</v>
      </c>
      <c r="K10" s="20">
        <f>Budget!K10-Actuals!K10</f>
        <v>0</v>
      </c>
      <c r="L10" s="20">
        <f>Budget!L10-Actuals!L10</f>
        <v>0</v>
      </c>
      <c r="M10" s="20">
        <f>Budget!M10-Actuals!M10</f>
        <v>0</v>
      </c>
      <c r="N10" s="20">
        <f>Budget!N10-Actuals!N10</f>
        <v>0</v>
      </c>
      <c r="O10" s="20">
        <f>Budget!O10-Actuals!O10</f>
        <v>0</v>
      </c>
      <c r="P10" s="37">
        <f t="shared" si="0"/>
        <v>563.45000000000005</v>
      </c>
    </row>
    <row r="11" spans="1:18" x14ac:dyDescent="0.25">
      <c r="A11" s="8"/>
      <c r="B11" s="7" t="s">
        <v>170</v>
      </c>
      <c r="C11" s="20">
        <f>Budget!C11-Actuals!C11</f>
        <v>0</v>
      </c>
      <c r="D11" s="20">
        <f>Budget!D11-Actuals!D11</f>
        <v>156</v>
      </c>
      <c r="E11" s="20">
        <f>Budget!E11-Actuals!E11</f>
        <v>156</v>
      </c>
      <c r="F11" s="20">
        <f>Budget!F11-Actuals!F11</f>
        <v>156</v>
      </c>
      <c r="G11" s="20">
        <f>Budget!G11-Actuals!G11</f>
        <v>156</v>
      </c>
      <c r="H11" s="20">
        <f>Budget!H11-Actuals!H11</f>
        <v>156</v>
      </c>
      <c r="I11" s="20">
        <f>Budget!I11-Actuals!I11</f>
        <v>156</v>
      </c>
      <c r="J11" s="20">
        <f>Budget!J11-Actuals!J11</f>
        <v>156</v>
      </c>
      <c r="K11" s="20">
        <f>Budget!K11-Actuals!K11</f>
        <v>156</v>
      </c>
      <c r="L11" s="20">
        <f>Budget!L11-Actuals!L11</f>
        <v>156</v>
      </c>
      <c r="M11" s="20">
        <f>Budget!M11-Actuals!M11</f>
        <v>156</v>
      </c>
      <c r="N11" s="20">
        <f>Budget!N11-Actuals!N11</f>
        <v>156</v>
      </c>
      <c r="O11" s="20">
        <f>Budget!O11-Actuals!O11</f>
        <v>156</v>
      </c>
      <c r="P11" s="37">
        <f t="shared" si="0"/>
        <v>1872</v>
      </c>
    </row>
    <row r="12" spans="1:18" x14ac:dyDescent="0.25">
      <c r="A12" s="8"/>
      <c r="B12" s="7" t="s">
        <v>172</v>
      </c>
      <c r="C12" s="20">
        <f>Budget!C12-Actuals!C12</f>
        <v>0</v>
      </c>
      <c r="D12" s="20">
        <f>Budget!D12-Actuals!D12</f>
        <v>79.069999999999993</v>
      </c>
      <c r="E12" s="20">
        <f>Budget!E12-Actuals!E12</f>
        <v>79.069999999999993</v>
      </c>
      <c r="F12" s="20">
        <f>Budget!F12-Actuals!F12</f>
        <v>79.069999999999993</v>
      </c>
      <c r="G12" s="20">
        <f>Budget!G12-Actuals!G12</f>
        <v>79.069999999999993</v>
      </c>
      <c r="H12" s="20">
        <f>Budget!H12-Actuals!H12</f>
        <v>79.069999999999993</v>
      </c>
      <c r="I12" s="20">
        <f>Budget!I12-Actuals!I12</f>
        <v>79.069999999999993</v>
      </c>
      <c r="J12" s="20">
        <f>Budget!J12-Actuals!J12</f>
        <v>79.069999999999993</v>
      </c>
      <c r="K12" s="20">
        <f>Budget!K12-Actuals!K12</f>
        <v>79.069999999999993</v>
      </c>
      <c r="L12" s="20">
        <f>Budget!L12-Actuals!L12</f>
        <v>79.069999999999993</v>
      </c>
      <c r="M12" s="20">
        <f>Budget!M12-Actuals!M12</f>
        <v>79.069999999999993</v>
      </c>
      <c r="N12" s="20">
        <f>Budget!N12-Actuals!N12</f>
        <v>79.069999999999993</v>
      </c>
      <c r="O12" s="20">
        <f>Budget!O12-Actuals!O12</f>
        <v>79.069999999999993</v>
      </c>
      <c r="P12" s="37">
        <f t="shared" si="0"/>
        <v>948.83999999999969</v>
      </c>
    </row>
    <row r="13" spans="1:18" x14ac:dyDescent="0.25">
      <c r="A13" s="8"/>
      <c r="B13" s="7" t="s">
        <v>174</v>
      </c>
      <c r="C13" s="20">
        <f>Budget!C13-Actuals!C13</f>
        <v>716.91000000000008</v>
      </c>
      <c r="D13" s="20">
        <f>Budget!D13-Actuals!D13</f>
        <v>0</v>
      </c>
      <c r="E13" s="20">
        <f>Budget!E13-Actuals!E13</f>
        <v>0</v>
      </c>
      <c r="F13" s="20">
        <f>Budget!F13-Actuals!F13</f>
        <v>0</v>
      </c>
      <c r="G13" s="20">
        <f>Budget!G13-Actuals!G13</f>
        <v>0</v>
      </c>
      <c r="H13" s="20">
        <f>Budget!H13-Actuals!H13</f>
        <v>0</v>
      </c>
      <c r="I13" s="20">
        <f>Budget!I13-Actuals!I13</f>
        <v>0</v>
      </c>
      <c r="J13" s="20">
        <f>Budget!J13-Actuals!J13</f>
        <v>0</v>
      </c>
      <c r="K13" s="20">
        <f>Budget!K13-Actuals!K13</f>
        <v>0</v>
      </c>
      <c r="L13" s="20">
        <f>Budget!L13-Actuals!L13</f>
        <v>0</v>
      </c>
      <c r="M13" s="20">
        <f>Budget!M13-Actuals!M13</f>
        <v>0</v>
      </c>
      <c r="N13" s="20">
        <f>Budget!N13-Actuals!N13</f>
        <v>0</v>
      </c>
      <c r="O13" s="20">
        <f>Budget!O13-Actuals!O13</f>
        <v>0</v>
      </c>
      <c r="P13" s="37">
        <f t="shared" si="0"/>
        <v>716.91000000000008</v>
      </c>
    </row>
    <row r="14" spans="1:18" x14ac:dyDescent="0.25">
      <c r="A14" s="57"/>
      <c r="B14" s="197" t="s">
        <v>176</v>
      </c>
      <c r="C14" s="20">
        <f>Budget!C14-Actuals!C14</f>
        <v>0</v>
      </c>
      <c r="D14" s="20">
        <f>Budget!D14-Actuals!D14</f>
        <v>0</v>
      </c>
      <c r="E14" s="20">
        <f>Budget!E14-Actuals!E14</f>
        <v>0</v>
      </c>
      <c r="F14" s="20">
        <f>Budget!F14-Actuals!F14</f>
        <v>0</v>
      </c>
      <c r="G14" s="20">
        <f>Budget!G14-Actuals!G14</f>
        <v>0</v>
      </c>
      <c r="H14" s="20">
        <f>Budget!H14-Actuals!H14</f>
        <v>0</v>
      </c>
      <c r="I14" s="20">
        <f>Budget!I14-Actuals!I14</f>
        <v>0</v>
      </c>
      <c r="J14" s="20">
        <f>Budget!J14-Actuals!J14</f>
        <v>0</v>
      </c>
      <c r="K14" s="20">
        <f>Budget!K14-Actuals!K14</f>
        <v>0</v>
      </c>
      <c r="L14" s="20">
        <f>Budget!L14-Actuals!L14</f>
        <v>0</v>
      </c>
      <c r="M14" s="20">
        <f>Budget!M14-Actuals!M14</f>
        <v>0</v>
      </c>
      <c r="N14" s="20">
        <f>Budget!N14-Actuals!N14</f>
        <v>0</v>
      </c>
      <c r="O14" s="20">
        <f>Budget!O14-Actuals!O14</f>
        <v>0</v>
      </c>
      <c r="P14" s="37">
        <f t="shared" ref="P14" si="1">SUM(C14:O14)</f>
        <v>0</v>
      </c>
    </row>
    <row r="15" spans="1:18" ht="15.75" thickBot="1" x14ac:dyDescent="0.3">
      <c r="A15" s="9"/>
      <c r="B15" s="15" t="s">
        <v>44</v>
      </c>
      <c r="C15" s="16">
        <f>SUM(C6:C14)</f>
        <v>3244.8100000000004</v>
      </c>
      <c r="D15" s="16">
        <f t="shared" ref="D15:P15" si="2">SUM(D6:D14)</f>
        <v>2103.0700000000002</v>
      </c>
      <c r="E15" s="16">
        <f t="shared" si="2"/>
        <v>2103.0700000000002</v>
      </c>
      <c r="F15" s="16">
        <f t="shared" si="2"/>
        <v>2103.0700000000002</v>
      </c>
      <c r="G15" s="16">
        <f t="shared" si="2"/>
        <v>2103.0700000000002</v>
      </c>
      <c r="H15" s="16">
        <f t="shared" si="2"/>
        <v>2103.0700000000002</v>
      </c>
      <c r="I15" s="16">
        <f t="shared" si="2"/>
        <v>2103.0700000000002</v>
      </c>
      <c r="J15" s="16">
        <f t="shared" si="2"/>
        <v>2103.0700000000002</v>
      </c>
      <c r="K15" s="16">
        <f t="shared" si="2"/>
        <v>2103.0700000000002</v>
      </c>
      <c r="L15" s="16">
        <f t="shared" si="2"/>
        <v>2103.0700000000002</v>
      </c>
      <c r="M15" s="16">
        <f t="shared" si="2"/>
        <v>2103.0700000000002</v>
      </c>
      <c r="N15" s="16">
        <f t="shared" si="2"/>
        <v>2103.0700000000002</v>
      </c>
      <c r="O15" s="16">
        <f t="shared" si="2"/>
        <v>2103.0700000000002</v>
      </c>
      <c r="P15" s="16">
        <f t="shared" si="2"/>
        <v>28481.649999999998</v>
      </c>
    </row>
    <row r="16" spans="1:18" ht="8.25" customHeight="1" thickTop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8" ht="18.75" x14ac:dyDescent="0.25">
      <c r="A17" s="12" t="s">
        <v>177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8" x14ac:dyDescent="0.25">
      <c r="A18" s="8"/>
      <c r="B18" s="7" t="str">
        <f>B6</f>
        <v>Shelter</v>
      </c>
      <c r="C18" s="20">
        <f>Budget!C18-Actuals!C18</f>
        <v>0</v>
      </c>
      <c r="D18" s="20">
        <f>Budget!D18-Actuals!D18</f>
        <v>0</v>
      </c>
      <c r="E18" s="20">
        <f>Budget!E18-Actuals!E18</f>
        <v>0</v>
      </c>
      <c r="F18" s="20">
        <f>Budget!F18-Actuals!F18</f>
        <v>0</v>
      </c>
      <c r="G18" s="20">
        <f>Budget!G18-Actuals!G18</f>
        <v>0</v>
      </c>
      <c r="H18" s="20">
        <f>Budget!H18-Actuals!H18</f>
        <v>0</v>
      </c>
      <c r="I18" s="20">
        <f>Budget!I18-Actuals!I18</f>
        <v>0</v>
      </c>
      <c r="J18" s="20">
        <f>Budget!J18-Actuals!J18</f>
        <v>0</v>
      </c>
      <c r="K18" s="20">
        <f>Budget!K18-Actuals!K18</f>
        <v>0</v>
      </c>
      <c r="L18" s="20">
        <f>Budget!L18-Actuals!L18</f>
        <v>0</v>
      </c>
      <c r="M18" s="20">
        <f>Budget!M18-Actuals!M18</f>
        <v>0</v>
      </c>
      <c r="N18" s="20">
        <f>Budget!N18-Actuals!N18</f>
        <v>0</v>
      </c>
      <c r="O18" s="20">
        <f>Budget!O18-Actuals!O18</f>
        <v>0</v>
      </c>
      <c r="P18" s="37">
        <f t="shared" ref="P18:P25" si="3">SUM(C18:O18)</f>
        <v>0</v>
      </c>
    </row>
    <row r="19" spans="1:18" x14ac:dyDescent="0.25">
      <c r="A19" s="8"/>
      <c r="B19" s="7" t="str">
        <f t="shared" ref="B19:B26" si="4">B7</f>
        <v>Utilities Installation</v>
      </c>
      <c r="C19" s="20">
        <f>Budget!C19-Actuals!C19</f>
        <v>0</v>
      </c>
      <c r="D19" s="20">
        <f>Budget!D19-Actuals!D19</f>
        <v>0</v>
      </c>
      <c r="E19" s="20">
        <f>Budget!E19-Actuals!E19</f>
        <v>0</v>
      </c>
      <c r="F19" s="20">
        <f>Budget!F19-Actuals!F19</f>
        <v>0</v>
      </c>
      <c r="G19" s="20">
        <f>Budget!G19-Actuals!G19</f>
        <v>0</v>
      </c>
      <c r="H19" s="20">
        <f>Budget!H19-Actuals!H19</f>
        <v>0</v>
      </c>
      <c r="I19" s="20">
        <f>Budget!I19-Actuals!I19</f>
        <v>0</v>
      </c>
      <c r="J19" s="20">
        <f>Budget!J19-Actuals!J19</f>
        <v>0</v>
      </c>
      <c r="K19" s="20">
        <f>Budget!K19-Actuals!K19</f>
        <v>0</v>
      </c>
      <c r="L19" s="20">
        <f>Budget!L19-Actuals!L19</f>
        <v>0</v>
      </c>
      <c r="M19" s="20">
        <f>Budget!M19-Actuals!M19</f>
        <v>0</v>
      </c>
      <c r="N19" s="20">
        <f>Budget!N19-Actuals!N19</f>
        <v>0</v>
      </c>
      <c r="O19" s="20">
        <f>Budget!O19-Actuals!O19</f>
        <v>0</v>
      </c>
      <c r="P19" s="37">
        <f t="shared" si="3"/>
        <v>0</v>
      </c>
    </row>
    <row r="20" spans="1:18" x14ac:dyDescent="0.25">
      <c r="A20" s="8"/>
      <c r="B20" s="7" t="str">
        <f t="shared" si="4"/>
        <v>Furniture</v>
      </c>
      <c r="C20" s="20">
        <f>Budget!C20-Actuals!C20</f>
        <v>0</v>
      </c>
      <c r="D20" s="20">
        <f>Budget!D20-Actuals!D20</f>
        <v>0</v>
      </c>
      <c r="E20" s="20">
        <f>Budget!E20-Actuals!E20</f>
        <v>0</v>
      </c>
      <c r="F20" s="20">
        <f>Budget!F20-Actuals!F20</f>
        <v>0</v>
      </c>
      <c r="G20" s="20">
        <f>Budget!G20-Actuals!G20</f>
        <v>0</v>
      </c>
      <c r="H20" s="20">
        <f>Budget!H20-Actuals!H20</f>
        <v>0</v>
      </c>
      <c r="I20" s="20">
        <f>Budget!I20-Actuals!I20</f>
        <v>0</v>
      </c>
      <c r="J20" s="20">
        <f>Budget!J20-Actuals!J20</f>
        <v>0</v>
      </c>
      <c r="K20" s="20">
        <f>Budget!K20-Actuals!K20</f>
        <v>0</v>
      </c>
      <c r="L20" s="20">
        <f>Budget!L20-Actuals!L20</f>
        <v>0</v>
      </c>
      <c r="M20" s="20">
        <f>Budget!M20-Actuals!M20</f>
        <v>0</v>
      </c>
      <c r="N20" s="20">
        <f>Budget!N20-Actuals!N20</f>
        <v>0</v>
      </c>
      <c r="O20" s="20">
        <f>Budget!O20-Actuals!O20</f>
        <v>0</v>
      </c>
      <c r="P20" s="37">
        <f t="shared" si="3"/>
        <v>0</v>
      </c>
    </row>
    <row r="21" spans="1:18" x14ac:dyDescent="0.25">
      <c r="A21" s="8"/>
      <c r="B21" s="7" t="str">
        <f t="shared" si="4"/>
        <v>Food (Included as part of Basic Needs)</v>
      </c>
      <c r="C21" s="20">
        <f>Budget!C21-Actuals!C21</f>
        <v>0</v>
      </c>
      <c r="D21" s="20">
        <f>Budget!D21-Actuals!D21</f>
        <v>0</v>
      </c>
      <c r="E21" s="20">
        <f>Budget!E21-Actuals!E21</f>
        <v>0</v>
      </c>
      <c r="F21" s="20">
        <f>Budget!F21-Actuals!F21</f>
        <v>0</v>
      </c>
      <c r="G21" s="20">
        <f>Budget!G21-Actuals!G21</f>
        <v>0</v>
      </c>
      <c r="H21" s="20">
        <f>Budget!H21-Actuals!H21</f>
        <v>0</v>
      </c>
      <c r="I21" s="20">
        <f>Budget!I21-Actuals!I21</f>
        <v>0</v>
      </c>
      <c r="J21" s="20">
        <f>Budget!J21-Actuals!J21</f>
        <v>0</v>
      </c>
      <c r="K21" s="20">
        <f>Budget!K21-Actuals!K21</f>
        <v>0</v>
      </c>
      <c r="L21" s="20">
        <f>Budget!L21-Actuals!L21</f>
        <v>0</v>
      </c>
      <c r="M21" s="20">
        <f>Budget!M21-Actuals!M21</f>
        <v>0</v>
      </c>
      <c r="N21" s="20">
        <f>Budget!N21-Actuals!N21</f>
        <v>0</v>
      </c>
      <c r="O21" s="20">
        <f>Budget!O21-Actuals!O21</f>
        <v>0</v>
      </c>
      <c r="P21" s="37">
        <f t="shared" si="3"/>
        <v>0</v>
      </c>
    </row>
    <row r="22" spans="1:18" x14ac:dyDescent="0.25">
      <c r="A22" s="8"/>
      <c r="B22" s="7" t="str">
        <f t="shared" si="4"/>
        <v>Clothing</v>
      </c>
      <c r="C22" s="20">
        <f>Budget!C22-Actuals!C22</f>
        <v>0</v>
      </c>
      <c r="D22" s="20">
        <f>Budget!D22-Actuals!D22</f>
        <v>0</v>
      </c>
      <c r="E22" s="20">
        <f>Budget!E22-Actuals!E22</f>
        <v>0</v>
      </c>
      <c r="F22" s="20">
        <f>Budget!F22-Actuals!F22</f>
        <v>0</v>
      </c>
      <c r="G22" s="20">
        <f>Budget!G22-Actuals!G22</f>
        <v>0</v>
      </c>
      <c r="H22" s="20">
        <f>Budget!H22-Actuals!H22</f>
        <v>0</v>
      </c>
      <c r="I22" s="20">
        <f>Budget!I22-Actuals!I22</f>
        <v>0</v>
      </c>
      <c r="J22" s="20">
        <f>Budget!J22-Actuals!J22</f>
        <v>0</v>
      </c>
      <c r="K22" s="20">
        <f>Budget!K22-Actuals!K22</f>
        <v>0</v>
      </c>
      <c r="L22" s="20">
        <f>Budget!L22-Actuals!L22</f>
        <v>0</v>
      </c>
      <c r="M22" s="20">
        <f>Budget!M22-Actuals!M22</f>
        <v>0</v>
      </c>
      <c r="N22" s="20">
        <f>Budget!N22-Actuals!N22</f>
        <v>0</v>
      </c>
      <c r="O22" s="20">
        <f>Budget!O22-Actuals!O22</f>
        <v>0</v>
      </c>
      <c r="P22" s="37">
        <f t="shared" si="3"/>
        <v>0</v>
      </c>
      <c r="R22" s="47"/>
    </row>
    <row r="23" spans="1:18" x14ac:dyDescent="0.25">
      <c r="A23" s="57"/>
      <c r="B23" s="7" t="str">
        <f t="shared" si="4"/>
        <v>Transportation</v>
      </c>
      <c r="C23" s="20">
        <f>Budget!C23-Actuals!C23</f>
        <v>0</v>
      </c>
      <c r="D23" s="20">
        <f>Budget!D23-Actuals!D23</f>
        <v>0</v>
      </c>
      <c r="E23" s="20">
        <f>Budget!E23-Actuals!E23</f>
        <v>0</v>
      </c>
      <c r="F23" s="20">
        <f>Budget!F23-Actuals!F23</f>
        <v>0</v>
      </c>
      <c r="G23" s="20">
        <f>Budget!G23-Actuals!G23</f>
        <v>0</v>
      </c>
      <c r="H23" s="20">
        <f>Budget!H23-Actuals!H23</f>
        <v>0</v>
      </c>
      <c r="I23" s="20">
        <f>Budget!I23-Actuals!I23</f>
        <v>0</v>
      </c>
      <c r="J23" s="20">
        <f>Budget!J23-Actuals!J23</f>
        <v>0</v>
      </c>
      <c r="K23" s="20">
        <f>Budget!K23-Actuals!K23</f>
        <v>0</v>
      </c>
      <c r="L23" s="20">
        <f>Budget!L23-Actuals!L23</f>
        <v>0</v>
      </c>
      <c r="M23" s="20">
        <f>Budget!M23-Actuals!M23</f>
        <v>0</v>
      </c>
      <c r="N23" s="20">
        <f>Budget!N23-Actuals!N23</f>
        <v>0</v>
      </c>
      <c r="O23" s="20">
        <f>Budget!O23-Actuals!O23</f>
        <v>0</v>
      </c>
      <c r="P23" s="37">
        <f t="shared" si="3"/>
        <v>0</v>
      </c>
      <c r="R23" s="47"/>
    </row>
    <row r="24" spans="1:18" x14ac:dyDescent="0.25">
      <c r="A24" s="57"/>
      <c r="B24" s="7" t="str">
        <f t="shared" si="4"/>
        <v>Communication</v>
      </c>
      <c r="C24" s="20">
        <f>Budget!C24-Actuals!C24</f>
        <v>0</v>
      </c>
      <c r="D24" s="20">
        <f>Budget!D24-Actuals!D24</f>
        <v>0</v>
      </c>
      <c r="E24" s="20">
        <f>Budget!E24-Actuals!E24</f>
        <v>0</v>
      </c>
      <c r="F24" s="20">
        <f>Budget!F24-Actuals!F24</f>
        <v>0</v>
      </c>
      <c r="G24" s="20">
        <f>Budget!G24-Actuals!G24</f>
        <v>0</v>
      </c>
      <c r="H24" s="20">
        <f>Budget!H24-Actuals!H24</f>
        <v>0</v>
      </c>
      <c r="I24" s="20">
        <f>Budget!I24-Actuals!I24</f>
        <v>0</v>
      </c>
      <c r="J24" s="20">
        <f>Budget!J24-Actuals!J24</f>
        <v>0</v>
      </c>
      <c r="K24" s="20">
        <f>Budget!K24-Actuals!K24</f>
        <v>0</v>
      </c>
      <c r="L24" s="20">
        <f>Budget!L24-Actuals!L24</f>
        <v>0</v>
      </c>
      <c r="M24" s="20">
        <f>Budget!M24-Actuals!M24</f>
        <v>0</v>
      </c>
      <c r="N24" s="20">
        <f>Budget!N24-Actuals!N24</f>
        <v>0</v>
      </c>
      <c r="O24" s="20">
        <f>Budget!O24-Actuals!O24</f>
        <v>0</v>
      </c>
      <c r="P24" s="37">
        <f t="shared" si="3"/>
        <v>0</v>
      </c>
      <c r="R24" s="47"/>
    </row>
    <row r="25" spans="1:18" x14ac:dyDescent="0.25">
      <c r="A25" s="57"/>
      <c r="B25" s="7" t="str">
        <f t="shared" si="4"/>
        <v>Incidentals  (Included as part of Basic Needs)</v>
      </c>
      <c r="C25" s="20">
        <f>Budget!C25-Actuals!C25</f>
        <v>0</v>
      </c>
      <c r="D25" s="20">
        <f>Budget!D25-Actuals!D25</f>
        <v>0</v>
      </c>
      <c r="E25" s="20">
        <f>Budget!E25-Actuals!E25</f>
        <v>0</v>
      </c>
      <c r="F25" s="20">
        <f>Budget!F25-Actuals!F25</f>
        <v>0</v>
      </c>
      <c r="G25" s="20">
        <f>Budget!G25-Actuals!G25</f>
        <v>0</v>
      </c>
      <c r="H25" s="20">
        <f>Budget!H25-Actuals!H25</f>
        <v>0</v>
      </c>
      <c r="I25" s="20">
        <f>Budget!I25-Actuals!I25</f>
        <v>0</v>
      </c>
      <c r="J25" s="20">
        <f>Budget!J25-Actuals!J25</f>
        <v>0</v>
      </c>
      <c r="K25" s="20">
        <f>Budget!K25-Actuals!K25</f>
        <v>0</v>
      </c>
      <c r="L25" s="20">
        <f>Budget!L25-Actuals!L25</f>
        <v>0</v>
      </c>
      <c r="M25" s="20">
        <f>Budget!M25-Actuals!M25</f>
        <v>0</v>
      </c>
      <c r="N25" s="20">
        <f>Budget!N25-Actuals!N25</f>
        <v>0</v>
      </c>
      <c r="O25" s="20">
        <f>Budget!O25-Actuals!O25</f>
        <v>0</v>
      </c>
      <c r="P25" s="37">
        <f t="shared" si="3"/>
        <v>0</v>
      </c>
      <c r="R25" s="47"/>
    </row>
    <row r="26" spans="1:18" x14ac:dyDescent="0.25">
      <c r="A26" s="57"/>
      <c r="B26" s="7" t="str">
        <f t="shared" si="4"/>
        <v>Medical Expenses (not covered by OHIP or IFHP)</v>
      </c>
      <c r="C26" s="20">
        <f>Budget!C26-Actuals!C26</f>
        <v>0</v>
      </c>
      <c r="D26" s="20">
        <f>Budget!D26-Actuals!D26</f>
        <v>0</v>
      </c>
      <c r="E26" s="20">
        <f>Budget!E26-Actuals!E26</f>
        <v>0</v>
      </c>
      <c r="F26" s="20">
        <f>Budget!F26-Actuals!F26</f>
        <v>0</v>
      </c>
      <c r="G26" s="20">
        <f>Budget!G26-Actuals!G26</f>
        <v>0</v>
      </c>
      <c r="H26" s="20">
        <f>Budget!H26-Actuals!H26</f>
        <v>0</v>
      </c>
      <c r="I26" s="20">
        <f>Budget!I26-Actuals!I26</f>
        <v>0</v>
      </c>
      <c r="J26" s="20">
        <f>Budget!J26-Actuals!J26</f>
        <v>0</v>
      </c>
      <c r="K26" s="20">
        <f>Budget!K26-Actuals!K26</f>
        <v>0</v>
      </c>
      <c r="L26" s="20">
        <f>Budget!L26-Actuals!L26</f>
        <v>0</v>
      </c>
      <c r="M26" s="20">
        <f>Budget!M26-Actuals!M26</f>
        <v>0</v>
      </c>
      <c r="N26" s="20">
        <f>Budget!N26-Actuals!N26</f>
        <v>0</v>
      </c>
      <c r="O26" s="20">
        <f>Budget!O26-Actuals!O26</f>
        <v>0</v>
      </c>
      <c r="P26" s="37">
        <f t="shared" ref="P26" si="5">SUM(C26:O26)</f>
        <v>0</v>
      </c>
      <c r="R26" s="47"/>
    </row>
    <row r="27" spans="1:18" ht="15.75" thickBot="1" x14ac:dyDescent="0.3">
      <c r="A27" s="9"/>
      <c r="B27" s="15" t="s">
        <v>44</v>
      </c>
      <c r="C27" s="19">
        <f>SUM(C18:C26)</f>
        <v>0</v>
      </c>
      <c r="D27" s="19">
        <f t="shared" ref="D27:P27" si="6">SUM(D18:D26)</f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0</v>
      </c>
      <c r="K27" s="19">
        <f t="shared" si="6"/>
        <v>0</v>
      </c>
      <c r="L27" s="19">
        <f t="shared" si="6"/>
        <v>0</v>
      </c>
      <c r="M27" s="19">
        <f t="shared" si="6"/>
        <v>0</v>
      </c>
      <c r="N27" s="19">
        <f t="shared" si="6"/>
        <v>0</v>
      </c>
      <c r="O27" s="19">
        <f t="shared" si="6"/>
        <v>0</v>
      </c>
      <c r="P27" s="19">
        <f t="shared" si="6"/>
        <v>0</v>
      </c>
      <c r="R27" s="47"/>
    </row>
    <row r="28" spans="1:18" ht="15.75" thickTop="1" x14ac:dyDescent="0.25">
      <c r="R28" s="34"/>
    </row>
    <row r="29" spans="1:18" ht="18.75" x14ac:dyDescent="0.25">
      <c r="A29" s="12" t="s">
        <v>180</v>
      </c>
      <c r="B29" s="2"/>
    </row>
    <row r="30" spans="1:18" x14ac:dyDescent="0.25">
      <c r="A30" s="8"/>
      <c r="B30" s="7" t="str">
        <f>B6</f>
        <v>Shelter</v>
      </c>
      <c r="C30" s="20">
        <f>Budget!C30-Actuals!C30</f>
        <v>0</v>
      </c>
      <c r="D30" s="20">
        <f>Budget!D30-Actuals!D30</f>
        <v>1082</v>
      </c>
      <c r="E30" s="20">
        <f>Budget!E30-Actuals!E30</f>
        <v>1082</v>
      </c>
      <c r="F30" s="20">
        <f>Budget!F30-Actuals!F30</f>
        <v>1082</v>
      </c>
      <c r="G30" s="20">
        <f>Budget!G30-Actuals!G30</f>
        <v>1082</v>
      </c>
      <c r="H30" s="20">
        <f>Budget!H30-Actuals!H30</f>
        <v>1082</v>
      </c>
      <c r="I30" s="20">
        <f>Budget!I30-Actuals!I30</f>
        <v>1082</v>
      </c>
      <c r="J30" s="20">
        <f>Budget!J30-Actuals!J30</f>
        <v>1082</v>
      </c>
      <c r="K30" s="20">
        <f>Budget!K30-Actuals!K30</f>
        <v>1082</v>
      </c>
      <c r="L30" s="20">
        <f>Budget!L30-Actuals!L30</f>
        <v>1082</v>
      </c>
      <c r="M30" s="20">
        <f>Budget!M30-Actuals!M30</f>
        <v>1082</v>
      </c>
      <c r="N30" s="20">
        <f>Budget!N30-Actuals!N30</f>
        <v>1082</v>
      </c>
      <c r="O30" s="20">
        <f>Budget!O30-Actuals!O30</f>
        <v>1082</v>
      </c>
      <c r="P30" s="37">
        <f t="shared" ref="P30:P37" si="7">SUM(C30:O30)</f>
        <v>12984</v>
      </c>
    </row>
    <row r="31" spans="1:18" x14ac:dyDescent="0.25">
      <c r="A31" s="8"/>
      <c r="B31" s="7" t="str">
        <f t="shared" ref="B31:B38" si="8">B7</f>
        <v>Utilities Installation</v>
      </c>
      <c r="C31" s="20">
        <f>Budget!C31-Actuals!C31</f>
        <v>84.56</v>
      </c>
      <c r="D31" s="20">
        <f>Budget!D31-Actuals!D31</f>
        <v>0</v>
      </c>
      <c r="E31" s="20">
        <f>Budget!E31-Actuals!E31</f>
        <v>0</v>
      </c>
      <c r="F31" s="20">
        <f>Budget!F31-Actuals!F31</f>
        <v>0</v>
      </c>
      <c r="G31" s="20">
        <f>Budget!G31-Actuals!G31</f>
        <v>0</v>
      </c>
      <c r="H31" s="20">
        <f>Budget!H31-Actuals!H31</f>
        <v>0</v>
      </c>
      <c r="I31" s="20">
        <f>Budget!I31-Actuals!I31</f>
        <v>0</v>
      </c>
      <c r="J31" s="20">
        <f>Budget!J31-Actuals!J31</f>
        <v>0</v>
      </c>
      <c r="K31" s="20">
        <f>Budget!K31-Actuals!K31</f>
        <v>0</v>
      </c>
      <c r="L31" s="20">
        <f>Budget!L31-Actuals!L31</f>
        <v>0</v>
      </c>
      <c r="M31" s="20">
        <f>Budget!M31-Actuals!M31</f>
        <v>0</v>
      </c>
      <c r="N31" s="20">
        <f>Budget!N31-Actuals!N31</f>
        <v>0</v>
      </c>
      <c r="O31" s="20">
        <f>Budget!O31-Actuals!O31</f>
        <v>0</v>
      </c>
      <c r="P31" s="37">
        <f t="shared" si="7"/>
        <v>84.56</v>
      </c>
    </row>
    <row r="32" spans="1:18" x14ac:dyDescent="0.25">
      <c r="A32" s="8"/>
      <c r="B32" s="7" t="str">
        <f t="shared" si="8"/>
        <v>Furniture</v>
      </c>
      <c r="C32" s="20">
        <f>Budget!C32-Actuals!C32</f>
        <v>1634.15</v>
      </c>
      <c r="D32" s="20">
        <f>Budget!D32-Actuals!D32</f>
        <v>0</v>
      </c>
      <c r="E32" s="20">
        <f>Budget!E32-Actuals!E32</f>
        <v>0</v>
      </c>
      <c r="F32" s="20">
        <f>Budget!F32-Actuals!F32</f>
        <v>0</v>
      </c>
      <c r="G32" s="20">
        <f>Budget!G32-Actuals!G32</f>
        <v>0</v>
      </c>
      <c r="H32" s="20">
        <f>Budget!H32-Actuals!H32</f>
        <v>0</v>
      </c>
      <c r="I32" s="20">
        <f>Budget!I32-Actuals!I32</f>
        <v>0</v>
      </c>
      <c r="J32" s="20">
        <f>Budget!J32-Actuals!J32</f>
        <v>0</v>
      </c>
      <c r="K32" s="20">
        <f>Budget!K32-Actuals!K32</f>
        <v>0</v>
      </c>
      <c r="L32" s="20">
        <f>Budget!L32-Actuals!L32</f>
        <v>0</v>
      </c>
      <c r="M32" s="20">
        <f>Budget!M32-Actuals!M32</f>
        <v>0</v>
      </c>
      <c r="N32" s="20">
        <f>Budget!N32-Actuals!N32</f>
        <v>0</v>
      </c>
      <c r="O32" s="20">
        <f>Budget!O32-Actuals!O32</f>
        <v>0</v>
      </c>
      <c r="P32" s="37">
        <f t="shared" si="7"/>
        <v>1634.15</v>
      </c>
    </row>
    <row r="33" spans="1:18" x14ac:dyDescent="0.25">
      <c r="A33" s="8"/>
      <c r="B33" s="7" t="str">
        <f t="shared" si="8"/>
        <v>Food (Included as part of Basic Needs)</v>
      </c>
      <c r="C33" s="20">
        <f>Budget!C33-Actuals!C33</f>
        <v>245.74</v>
      </c>
      <c r="D33" s="20">
        <f>Budget!D33-Actuals!D33</f>
        <v>786</v>
      </c>
      <c r="E33" s="20">
        <f>Budget!E33-Actuals!E33</f>
        <v>786</v>
      </c>
      <c r="F33" s="20">
        <f>Budget!F33-Actuals!F33</f>
        <v>786</v>
      </c>
      <c r="G33" s="20">
        <f>Budget!G33-Actuals!G33</f>
        <v>786</v>
      </c>
      <c r="H33" s="20">
        <f>Budget!H33-Actuals!H33</f>
        <v>786</v>
      </c>
      <c r="I33" s="20">
        <f>Budget!I33-Actuals!I33</f>
        <v>786</v>
      </c>
      <c r="J33" s="20">
        <f>Budget!J33-Actuals!J33</f>
        <v>786</v>
      </c>
      <c r="K33" s="20">
        <f>Budget!K33-Actuals!K33</f>
        <v>786</v>
      </c>
      <c r="L33" s="20">
        <f>Budget!L33-Actuals!L33</f>
        <v>786</v>
      </c>
      <c r="M33" s="20">
        <f>Budget!M33-Actuals!M33</f>
        <v>786</v>
      </c>
      <c r="N33" s="20">
        <f>Budget!N33-Actuals!N33</f>
        <v>786</v>
      </c>
      <c r="O33" s="20">
        <f>Budget!O33-Actuals!O33</f>
        <v>786</v>
      </c>
      <c r="P33" s="37">
        <f t="shared" si="7"/>
        <v>9677.74</v>
      </c>
    </row>
    <row r="34" spans="1:18" x14ac:dyDescent="0.25">
      <c r="A34" s="8"/>
      <c r="B34" s="7" t="str">
        <f t="shared" si="8"/>
        <v>Clothing</v>
      </c>
      <c r="C34" s="20">
        <f>Budget!C34-Actuals!C34</f>
        <v>563.45000000000005</v>
      </c>
      <c r="D34" s="20">
        <f>Budget!D34-Actuals!D34</f>
        <v>0</v>
      </c>
      <c r="E34" s="20">
        <f>Budget!E34-Actuals!E34</f>
        <v>0</v>
      </c>
      <c r="F34" s="20">
        <f>Budget!F34-Actuals!F34</f>
        <v>0</v>
      </c>
      <c r="G34" s="20">
        <f>Budget!G34-Actuals!G34</f>
        <v>0</v>
      </c>
      <c r="H34" s="20">
        <f>Budget!H34-Actuals!H34</f>
        <v>0</v>
      </c>
      <c r="I34" s="20">
        <f>Budget!I34-Actuals!I34</f>
        <v>0</v>
      </c>
      <c r="J34" s="20">
        <f>Budget!J34-Actuals!J34</f>
        <v>0</v>
      </c>
      <c r="K34" s="20">
        <f>Budget!K34-Actuals!K34</f>
        <v>0</v>
      </c>
      <c r="L34" s="20">
        <f>Budget!L34-Actuals!L34</f>
        <v>0</v>
      </c>
      <c r="M34" s="20">
        <f>Budget!M34-Actuals!M34</f>
        <v>0</v>
      </c>
      <c r="N34" s="20">
        <f>Budget!N34-Actuals!N34</f>
        <v>0</v>
      </c>
      <c r="O34" s="20">
        <f>Budget!O34-Actuals!O34</f>
        <v>0</v>
      </c>
      <c r="P34" s="37">
        <f t="shared" si="7"/>
        <v>563.45000000000005</v>
      </c>
    </row>
    <row r="35" spans="1:18" x14ac:dyDescent="0.25">
      <c r="A35" s="8"/>
      <c r="B35" s="7" t="str">
        <f t="shared" si="8"/>
        <v>Transportation</v>
      </c>
      <c r="C35" s="20">
        <f>Budget!C35-Actuals!C35</f>
        <v>0</v>
      </c>
      <c r="D35" s="20">
        <f>Budget!D35-Actuals!D35</f>
        <v>156</v>
      </c>
      <c r="E35" s="20">
        <f>Budget!E35-Actuals!E35</f>
        <v>156</v>
      </c>
      <c r="F35" s="20">
        <f>Budget!F35-Actuals!F35</f>
        <v>156</v>
      </c>
      <c r="G35" s="20">
        <f>Budget!G35-Actuals!G35</f>
        <v>156</v>
      </c>
      <c r="H35" s="20">
        <f>Budget!H35-Actuals!H35</f>
        <v>156</v>
      </c>
      <c r="I35" s="20">
        <f>Budget!I35-Actuals!I35</f>
        <v>156</v>
      </c>
      <c r="J35" s="20">
        <f>Budget!J35-Actuals!J35</f>
        <v>156</v>
      </c>
      <c r="K35" s="20">
        <f>Budget!K35-Actuals!K35</f>
        <v>156</v>
      </c>
      <c r="L35" s="20">
        <f>Budget!L35-Actuals!L35</f>
        <v>156</v>
      </c>
      <c r="M35" s="20">
        <f>Budget!M35-Actuals!M35</f>
        <v>156</v>
      </c>
      <c r="N35" s="20">
        <f>Budget!N35-Actuals!N35</f>
        <v>156</v>
      </c>
      <c r="O35" s="20">
        <f>Budget!O35-Actuals!O35</f>
        <v>156</v>
      </c>
      <c r="P35" s="37">
        <f t="shared" si="7"/>
        <v>1872</v>
      </c>
    </row>
    <row r="36" spans="1:18" x14ac:dyDescent="0.25">
      <c r="A36" s="8"/>
      <c r="B36" s="7" t="str">
        <f t="shared" si="8"/>
        <v>Communication</v>
      </c>
      <c r="C36" s="20">
        <f>Budget!C36-Actuals!C36</f>
        <v>0</v>
      </c>
      <c r="D36" s="20">
        <f>Budget!D36-Actuals!D36</f>
        <v>79.069999999999993</v>
      </c>
      <c r="E36" s="20">
        <f>Budget!E36-Actuals!E36</f>
        <v>79.069999999999993</v>
      </c>
      <c r="F36" s="20">
        <f>Budget!F36-Actuals!F36</f>
        <v>79.069999999999993</v>
      </c>
      <c r="G36" s="20">
        <f>Budget!G36-Actuals!G36</f>
        <v>79.069999999999993</v>
      </c>
      <c r="H36" s="20">
        <f>Budget!H36-Actuals!H36</f>
        <v>79.069999999999993</v>
      </c>
      <c r="I36" s="20">
        <f>Budget!I36-Actuals!I36</f>
        <v>79.069999999999993</v>
      </c>
      <c r="J36" s="20">
        <f>Budget!J36-Actuals!J36</f>
        <v>79.069999999999993</v>
      </c>
      <c r="K36" s="20">
        <f>Budget!K36-Actuals!K36</f>
        <v>79.069999999999993</v>
      </c>
      <c r="L36" s="20">
        <f>Budget!L36-Actuals!L36</f>
        <v>79.069999999999993</v>
      </c>
      <c r="M36" s="20">
        <f>Budget!M36-Actuals!M36</f>
        <v>79.069999999999993</v>
      </c>
      <c r="N36" s="20">
        <f>Budget!N36-Actuals!N36</f>
        <v>79.069999999999993</v>
      </c>
      <c r="O36" s="20">
        <f>Budget!O36-Actuals!O36</f>
        <v>79.069999999999993</v>
      </c>
      <c r="P36" s="37">
        <f t="shared" si="7"/>
        <v>948.83999999999969</v>
      </c>
    </row>
    <row r="37" spans="1:18" x14ac:dyDescent="0.25">
      <c r="A37" s="8"/>
      <c r="B37" s="7" t="str">
        <f t="shared" si="8"/>
        <v>Incidentals  (Included as part of Basic Needs)</v>
      </c>
      <c r="C37" s="20">
        <f>Budget!C37-Actuals!C37</f>
        <v>716.91000000000008</v>
      </c>
      <c r="D37" s="20">
        <f>Budget!D37-Actuals!D37</f>
        <v>0</v>
      </c>
      <c r="E37" s="20">
        <f>Budget!E37-Actuals!E37</f>
        <v>0</v>
      </c>
      <c r="F37" s="20">
        <f>Budget!F37-Actuals!F37</f>
        <v>0</v>
      </c>
      <c r="G37" s="20">
        <f>Budget!G37-Actuals!G37</f>
        <v>0</v>
      </c>
      <c r="H37" s="20">
        <f>Budget!H37-Actuals!H37</f>
        <v>0</v>
      </c>
      <c r="I37" s="20">
        <f>Budget!I37-Actuals!I37</f>
        <v>0</v>
      </c>
      <c r="J37" s="20">
        <f>Budget!J37-Actuals!J37</f>
        <v>0</v>
      </c>
      <c r="K37" s="20">
        <f>Budget!K37-Actuals!K37</f>
        <v>0</v>
      </c>
      <c r="L37" s="20">
        <f>Budget!L37-Actuals!L37</f>
        <v>0</v>
      </c>
      <c r="M37" s="20">
        <f>Budget!M37-Actuals!M37</f>
        <v>0</v>
      </c>
      <c r="N37" s="20">
        <f>Budget!N37-Actuals!N37</f>
        <v>0</v>
      </c>
      <c r="O37" s="20">
        <f>Budget!O37-Actuals!O37</f>
        <v>0</v>
      </c>
      <c r="P37" s="37">
        <f t="shared" si="7"/>
        <v>716.91000000000008</v>
      </c>
    </row>
    <row r="38" spans="1:18" x14ac:dyDescent="0.25">
      <c r="A38" s="57"/>
      <c r="B38" s="7" t="str">
        <f t="shared" si="8"/>
        <v>Medical Expenses (not covered by OHIP or IFHP)</v>
      </c>
      <c r="C38" s="20">
        <f>Budget!C38-Actuals!C38</f>
        <v>0</v>
      </c>
      <c r="D38" s="20">
        <f>Budget!D38-Actuals!D38</f>
        <v>0</v>
      </c>
      <c r="E38" s="20">
        <f>Budget!E38-Actuals!E38</f>
        <v>0</v>
      </c>
      <c r="F38" s="20">
        <f>Budget!F38-Actuals!F38</f>
        <v>0</v>
      </c>
      <c r="G38" s="20">
        <f>Budget!G38-Actuals!G38</f>
        <v>0</v>
      </c>
      <c r="H38" s="20">
        <f>Budget!H38-Actuals!H38</f>
        <v>0</v>
      </c>
      <c r="I38" s="20">
        <f>Budget!I38-Actuals!I38</f>
        <v>0</v>
      </c>
      <c r="J38" s="20">
        <f>Budget!J38-Actuals!J38</f>
        <v>0</v>
      </c>
      <c r="K38" s="20">
        <f>Budget!K38-Actuals!K38</f>
        <v>0</v>
      </c>
      <c r="L38" s="20">
        <f>Budget!L38-Actuals!L38</f>
        <v>0</v>
      </c>
      <c r="M38" s="20">
        <f>Budget!M38-Actuals!M38</f>
        <v>0</v>
      </c>
      <c r="N38" s="20">
        <f>Budget!N38-Actuals!N38</f>
        <v>0</v>
      </c>
      <c r="O38" s="20">
        <f>Budget!O38-Actuals!O38</f>
        <v>0</v>
      </c>
      <c r="P38" s="37">
        <f t="shared" ref="P38" si="9">SUM(C38:O38)</f>
        <v>0</v>
      </c>
    </row>
    <row r="39" spans="1:18" ht="15.75" thickBot="1" x14ac:dyDescent="0.3">
      <c r="A39" s="9"/>
      <c r="B39" s="15" t="s">
        <v>44</v>
      </c>
      <c r="C39" s="19">
        <f>SUM(C30:C38)</f>
        <v>3244.8100000000004</v>
      </c>
      <c r="D39" s="19">
        <f t="shared" ref="D39:P39" si="10">SUM(D30:D38)</f>
        <v>2103.0700000000002</v>
      </c>
      <c r="E39" s="19">
        <f t="shared" si="10"/>
        <v>2103.0700000000002</v>
      </c>
      <c r="F39" s="19">
        <f t="shared" si="10"/>
        <v>2103.0700000000002</v>
      </c>
      <c r="G39" s="19">
        <f t="shared" si="10"/>
        <v>2103.0700000000002</v>
      </c>
      <c r="H39" s="19">
        <f t="shared" si="10"/>
        <v>2103.0700000000002</v>
      </c>
      <c r="I39" s="19">
        <f t="shared" si="10"/>
        <v>2103.0700000000002</v>
      </c>
      <c r="J39" s="19">
        <f t="shared" si="10"/>
        <v>2103.0700000000002</v>
      </c>
      <c r="K39" s="19">
        <f t="shared" si="10"/>
        <v>2103.0700000000002</v>
      </c>
      <c r="L39" s="19">
        <f t="shared" si="10"/>
        <v>2103.0700000000002</v>
      </c>
      <c r="M39" s="19">
        <f t="shared" si="10"/>
        <v>2103.0700000000002</v>
      </c>
      <c r="N39" s="19">
        <f t="shared" si="10"/>
        <v>2103.0700000000002</v>
      </c>
      <c r="O39" s="19">
        <f t="shared" si="10"/>
        <v>2103.0700000000002</v>
      </c>
      <c r="P39" s="19">
        <f t="shared" si="10"/>
        <v>28481.649999999998</v>
      </c>
    </row>
    <row r="40" spans="1:18" ht="15.75" thickTop="1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8" ht="18.75" x14ac:dyDescent="0.25">
      <c r="A41" s="12" t="s">
        <v>181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8" ht="18.75" x14ac:dyDescent="0.25">
      <c r="A42" s="12"/>
      <c r="B42" s="159" t="s">
        <v>182</v>
      </c>
      <c r="C42" s="20">
        <f>Budget!C42-Actuals!C42</f>
        <v>0</v>
      </c>
      <c r="D42" s="20">
        <f>Budget!D42-Actuals!D42</f>
        <v>0</v>
      </c>
      <c r="E42" s="20">
        <f>Budget!E42-Actuals!E42</f>
        <v>0</v>
      </c>
      <c r="F42" s="20">
        <f>Budget!F42-Actuals!F42</f>
        <v>0</v>
      </c>
      <c r="G42" s="20">
        <f>Budget!G42-Actuals!G42</f>
        <v>0</v>
      </c>
      <c r="H42" s="20">
        <f>Budget!H42-Actuals!H42</f>
        <v>0</v>
      </c>
      <c r="I42" s="20">
        <f>Budget!I42-Actuals!I42</f>
        <v>0</v>
      </c>
      <c r="J42" s="20">
        <f>Budget!J42-Actuals!J42</f>
        <v>0</v>
      </c>
      <c r="K42" s="20">
        <f>Budget!K42-Actuals!K42</f>
        <v>0</v>
      </c>
      <c r="L42" s="20">
        <f>Budget!L42-Actuals!L42</f>
        <v>0</v>
      </c>
      <c r="M42" s="20">
        <f>Budget!M42-Actuals!M42</f>
        <v>0</v>
      </c>
      <c r="N42" s="20">
        <f>Budget!N42-Actuals!N42</f>
        <v>0</v>
      </c>
      <c r="O42" s="20">
        <f>Budget!O42-Actuals!O42</f>
        <v>0</v>
      </c>
      <c r="P42" s="37">
        <f>SUM(C42:O42)</f>
        <v>0</v>
      </c>
    </row>
    <row r="43" spans="1:18" ht="18.75" x14ac:dyDescent="0.25">
      <c r="A43" s="12"/>
      <c r="B43" s="158" t="s">
        <v>183</v>
      </c>
      <c r="C43" s="20">
        <f>Budget!C43-Actuals!C43</f>
        <v>0</v>
      </c>
      <c r="D43" s="20">
        <f>Budget!D43-Actuals!D43</f>
        <v>0</v>
      </c>
      <c r="E43" s="20">
        <f>Budget!E43-Actuals!E43</f>
        <v>0</v>
      </c>
      <c r="F43" s="20">
        <f>Budget!F43-Actuals!F43</f>
        <v>0</v>
      </c>
      <c r="G43" s="20">
        <f>Budget!G43-Actuals!G43</f>
        <v>0</v>
      </c>
      <c r="H43" s="20">
        <f>Budget!H43-Actuals!H43</f>
        <v>0</v>
      </c>
      <c r="I43" s="20">
        <f>Budget!I43-Actuals!I43</f>
        <v>0</v>
      </c>
      <c r="J43" s="20">
        <f>Budget!J43-Actuals!J43</f>
        <v>0</v>
      </c>
      <c r="K43" s="20">
        <f>Budget!K43-Actuals!K43</f>
        <v>0</v>
      </c>
      <c r="L43" s="20">
        <f>Budget!L43-Actuals!L43</f>
        <v>0</v>
      </c>
      <c r="M43" s="20">
        <f>Budget!M43-Actuals!M43</f>
        <v>0</v>
      </c>
      <c r="N43" s="20">
        <f>Budget!N43-Actuals!N43</f>
        <v>0</v>
      </c>
      <c r="O43" s="20">
        <f>Budget!O43-Actuals!O43</f>
        <v>0</v>
      </c>
      <c r="P43" s="37">
        <f>SUM(C43:O43)</f>
        <v>0</v>
      </c>
    </row>
    <row r="44" spans="1:18" ht="18.75" x14ac:dyDescent="0.25">
      <c r="A44" s="12" t="s">
        <v>184</v>
      </c>
    </row>
    <row r="45" spans="1:18" x14ac:dyDescent="0.25">
      <c r="B45" s="159" t="s">
        <v>185</v>
      </c>
      <c r="C45" s="20">
        <f>Budget!C45-Actuals!C45</f>
        <v>0</v>
      </c>
      <c r="D45" s="20">
        <f>Budget!D45-Actuals!D45</f>
        <v>0</v>
      </c>
      <c r="E45" s="20">
        <f>Budget!E45-Actuals!E45</f>
        <v>0</v>
      </c>
      <c r="F45" s="20">
        <f>Budget!F45-Actuals!F45</f>
        <v>0</v>
      </c>
      <c r="G45" s="20">
        <f>Budget!G45-Actuals!G45</f>
        <v>0</v>
      </c>
      <c r="H45" s="20">
        <f>Budget!H45-Actuals!H45</f>
        <v>0</v>
      </c>
      <c r="I45" s="20">
        <f>Budget!I45-Actuals!I45</f>
        <v>0</v>
      </c>
      <c r="J45" s="20">
        <f>Budget!J45-Actuals!J45</f>
        <v>0</v>
      </c>
      <c r="K45" s="20">
        <f>Budget!K45-Actuals!K45</f>
        <v>0</v>
      </c>
      <c r="L45" s="20">
        <f>Budget!L45-Actuals!L45</f>
        <v>0</v>
      </c>
      <c r="M45" s="20">
        <f>Budget!M45-Actuals!M45</f>
        <v>0</v>
      </c>
      <c r="N45" s="20">
        <f>Budget!N45-Actuals!N45</f>
        <v>0</v>
      </c>
      <c r="O45" s="20">
        <f>Budget!O45-Actuals!O45</f>
        <v>0</v>
      </c>
      <c r="P45" s="37">
        <f>SUM(C45:O45)</f>
        <v>0</v>
      </c>
    </row>
    <row r="46" spans="1:18" x14ac:dyDescent="0.25">
      <c r="B46" s="159" t="s">
        <v>186</v>
      </c>
      <c r="C46" s="20">
        <f>Budget!C46-Actuals!C46</f>
        <v>0</v>
      </c>
      <c r="D46" s="20">
        <f>Budget!D46-Actuals!D46</f>
        <v>0</v>
      </c>
      <c r="E46" s="20">
        <f>Budget!E46-Actuals!E46</f>
        <v>0</v>
      </c>
      <c r="F46" s="20">
        <f>Budget!F46-Actuals!F46</f>
        <v>0</v>
      </c>
      <c r="G46" s="20">
        <f>Budget!G46-Actuals!G46</f>
        <v>0</v>
      </c>
      <c r="H46" s="20">
        <f>Budget!H46-Actuals!H46</f>
        <v>0</v>
      </c>
      <c r="I46" s="20">
        <f>Budget!I46-Actuals!I46</f>
        <v>0</v>
      </c>
      <c r="J46" s="20">
        <f>Budget!J46-Actuals!J46</f>
        <v>0</v>
      </c>
      <c r="K46" s="20">
        <f>Budget!K46-Actuals!K46</f>
        <v>0</v>
      </c>
      <c r="L46" s="20">
        <f>Budget!L46-Actuals!L46</f>
        <v>0</v>
      </c>
      <c r="M46" s="20">
        <f>Budget!M46-Actuals!M46</f>
        <v>0</v>
      </c>
      <c r="N46" s="20">
        <f>Budget!N46-Actuals!N46</f>
        <v>0</v>
      </c>
      <c r="O46" s="20">
        <f>Budget!O46-Actuals!O46</f>
        <v>0</v>
      </c>
      <c r="P46" s="37">
        <f>SUM(C46:O46)</f>
        <v>0</v>
      </c>
    </row>
    <row r="47" spans="1:18" ht="15.75" thickBot="1" x14ac:dyDescent="0.3">
      <c r="A47" s="162"/>
      <c r="B47" s="163" t="s">
        <v>187</v>
      </c>
      <c r="C47" s="19">
        <f>C43+C46</f>
        <v>0</v>
      </c>
      <c r="D47" s="19">
        <f t="shared" ref="D47:O47" si="11">D43+D46</f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>SUM(P45:P46)</f>
        <v>0</v>
      </c>
      <c r="R47" s="21" t="s">
        <v>161</v>
      </c>
    </row>
    <row r="48" spans="1:18" ht="15.75" thickTop="1" x14ac:dyDescent="0.25">
      <c r="B48" s="2"/>
    </row>
    <row r="49" spans="1:18" ht="15.75" thickBot="1" x14ac:dyDescent="0.3">
      <c r="A49" s="11" t="s">
        <v>188</v>
      </c>
      <c r="B49" s="11"/>
      <c r="C49" s="17">
        <f>C47-C39</f>
        <v>-3244.8100000000004</v>
      </c>
      <c r="D49" s="17">
        <f t="shared" ref="D49:O49" si="12">D47-D39</f>
        <v>-2103.0700000000002</v>
      </c>
      <c r="E49" s="17">
        <f t="shared" si="12"/>
        <v>-2103.0700000000002</v>
      </c>
      <c r="F49" s="17">
        <f t="shared" si="12"/>
        <v>-2103.0700000000002</v>
      </c>
      <c r="G49" s="17">
        <f t="shared" si="12"/>
        <v>-2103.0700000000002</v>
      </c>
      <c r="H49" s="17">
        <f t="shared" si="12"/>
        <v>-2103.0700000000002</v>
      </c>
      <c r="I49" s="17">
        <f t="shared" si="12"/>
        <v>-2103.0700000000002</v>
      </c>
      <c r="J49" s="17">
        <f t="shared" si="12"/>
        <v>-2103.0700000000002</v>
      </c>
      <c r="K49" s="17">
        <f t="shared" si="12"/>
        <v>-2103.0700000000002</v>
      </c>
      <c r="L49" s="17">
        <f t="shared" si="12"/>
        <v>-2103.0700000000002</v>
      </c>
      <c r="M49" s="17">
        <f t="shared" si="12"/>
        <v>-2103.0700000000002</v>
      </c>
      <c r="N49" s="17">
        <f t="shared" si="12"/>
        <v>-2103.0700000000002</v>
      </c>
      <c r="O49" s="17">
        <f t="shared" si="12"/>
        <v>-2103.0700000000002</v>
      </c>
      <c r="P49" s="17">
        <f>SUM(C49:O49)</f>
        <v>-28481.649999999998</v>
      </c>
    </row>
    <row r="50" spans="1:18" ht="16.5" thickTop="1" thickBot="1" x14ac:dyDescent="0.3">
      <c r="A50" s="44" t="s">
        <v>189</v>
      </c>
      <c r="B50" s="44"/>
      <c r="C50" s="19">
        <f>C49</f>
        <v>-3244.8100000000004</v>
      </c>
      <c r="D50" s="19">
        <f>C50+D49</f>
        <v>-5347.880000000001</v>
      </c>
      <c r="E50" s="19">
        <f t="shared" ref="E50:O50" si="13">D50+E49</f>
        <v>-7450.9500000000007</v>
      </c>
      <c r="F50" s="19">
        <f t="shared" si="13"/>
        <v>-9554.02</v>
      </c>
      <c r="G50" s="19">
        <f t="shared" si="13"/>
        <v>-11657.09</v>
      </c>
      <c r="H50" s="19">
        <f t="shared" si="13"/>
        <v>-13760.16</v>
      </c>
      <c r="I50" s="19">
        <f t="shared" si="13"/>
        <v>-15863.23</v>
      </c>
      <c r="J50" s="19">
        <f t="shared" si="13"/>
        <v>-17966.3</v>
      </c>
      <c r="K50" s="19">
        <f t="shared" si="13"/>
        <v>-20069.37</v>
      </c>
      <c r="L50" s="19">
        <f t="shared" si="13"/>
        <v>-22172.44</v>
      </c>
      <c r="M50" s="19">
        <f t="shared" si="13"/>
        <v>-24275.51</v>
      </c>
      <c r="N50" s="19">
        <f t="shared" si="13"/>
        <v>-26378.579999999998</v>
      </c>
      <c r="O50" s="19">
        <f t="shared" si="13"/>
        <v>-28481.649999999998</v>
      </c>
      <c r="P50" s="19"/>
    </row>
    <row r="51" spans="1:18" ht="15.75" thickTop="1" x14ac:dyDescent="0.25">
      <c r="A51" s="2" t="s">
        <v>190</v>
      </c>
      <c r="B51" s="2"/>
    </row>
    <row r="52" spans="1:18" x14ac:dyDescent="0.25">
      <c r="A52" s="2"/>
      <c r="B52" s="2" t="s">
        <v>191</v>
      </c>
      <c r="C52" s="20">
        <f>Budget!C52-Actuals!C52</f>
        <v>0</v>
      </c>
      <c r="D52" s="20">
        <f>Budget!D52-Actuals!D52</f>
        <v>0</v>
      </c>
      <c r="E52" s="20">
        <f>Budget!E52-Actuals!E52</f>
        <v>0</v>
      </c>
      <c r="F52" s="20">
        <f>Budget!F52-Actuals!F52</f>
        <v>0</v>
      </c>
      <c r="G52" s="20">
        <f>Budget!G52-Actuals!G52</f>
        <v>0</v>
      </c>
      <c r="H52" s="20">
        <f>Budget!H52-Actuals!H52</f>
        <v>0</v>
      </c>
      <c r="I52" s="20">
        <f>Budget!I52-Actuals!I52</f>
        <v>0</v>
      </c>
      <c r="J52" s="20">
        <f>Budget!J52-Actuals!J52</f>
        <v>0</v>
      </c>
      <c r="K52" s="20">
        <f>Budget!K52-Actuals!K52</f>
        <v>0</v>
      </c>
      <c r="L52" s="20">
        <f>Budget!L52-Actuals!L52</f>
        <v>0</v>
      </c>
      <c r="M52" s="20">
        <f>Budget!M52-Actuals!M52</f>
        <v>0</v>
      </c>
      <c r="N52" s="20">
        <f>Budget!N52-Actuals!N52</f>
        <v>0</v>
      </c>
      <c r="O52" s="20">
        <f>Budget!O52-Actuals!O52</f>
        <v>0</v>
      </c>
      <c r="P52" s="37">
        <f>SUM(C52:O52)</f>
        <v>0</v>
      </c>
    </row>
    <row r="53" spans="1:18" x14ac:dyDescent="0.25">
      <c r="A53" s="2"/>
      <c r="B53" s="2" t="s">
        <v>193</v>
      </c>
      <c r="C53" s="20">
        <f>Budget!C53-Actuals!C53</f>
        <v>0</v>
      </c>
      <c r="D53" s="20">
        <f>Budget!D53-Actuals!D53</f>
        <v>0</v>
      </c>
      <c r="E53" s="20">
        <f>Budget!E53-Actuals!E53</f>
        <v>0</v>
      </c>
      <c r="F53" s="20">
        <f>Budget!F53-Actuals!F53</f>
        <v>0</v>
      </c>
      <c r="G53" s="20">
        <f>Budget!G53-Actuals!G53</f>
        <v>0</v>
      </c>
      <c r="H53" s="20">
        <f>Budget!H53-Actuals!H53</f>
        <v>0</v>
      </c>
      <c r="I53" s="20">
        <f>Budget!I53-Actuals!I53</f>
        <v>0</v>
      </c>
      <c r="J53" s="20">
        <f>Budget!J53-Actuals!J53</f>
        <v>0</v>
      </c>
      <c r="K53" s="20">
        <f>Budget!K53-Actuals!K53</f>
        <v>0</v>
      </c>
      <c r="L53" s="20">
        <f>Budget!L53-Actuals!L53</f>
        <v>0</v>
      </c>
      <c r="M53" s="20">
        <f>Budget!M53-Actuals!M53</f>
        <v>0</v>
      </c>
      <c r="N53" s="20">
        <f>Budget!N53-Actuals!N53</f>
        <v>0</v>
      </c>
      <c r="O53" s="20">
        <f>Budget!O53-Actuals!O53</f>
        <v>0</v>
      </c>
      <c r="P53" s="37">
        <f>SUM(C53:O53)</f>
        <v>0</v>
      </c>
      <c r="R53" s="47"/>
    </row>
    <row r="54" spans="1:18" x14ac:dyDescent="0.25">
      <c r="A54" s="2"/>
      <c r="B54" s="2" t="s">
        <v>194</v>
      </c>
      <c r="C54" s="20">
        <f>Budget!C54-Actuals!C54</f>
        <v>0</v>
      </c>
      <c r="D54" s="20">
        <f>Budget!D54-Actuals!D54</f>
        <v>0</v>
      </c>
      <c r="E54" s="20">
        <f>Budget!E54-Actuals!E54</f>
        <v>0</v>
      </c>
      <c r="F54" s="20">
        <f>Budget!F54-Actuals!F54</f>
        <v>0</v>
      </c>
      <c r="G54" s="20">
        <f>Budget!G54-Actuals!G54</f>
        <v>0</v>
      </c>
      <c r="H54" s="20">
        <f>Budget!H54-Actuals!H54</f>
        <v>0</v>
      </c>
      <c r="I54" s="20">
        <f>Budget!I54-Actuals!I54</f>
        <v>0</v>
      </c>
      <c r="J54" s="20">
        <f>Budget!J54-Actuals!J54</f>
        <v>0</v>
      </c>
      <c r="K54" s="20">
        <f>Budget!K54-Actuals!K54</f>
        <v>0</v>
      </c>
      <c r="L54" s="20">
        <f>Budget!L54-Actuals!L54</f>
        <v>0</v>
      </c>
      <c r="M54" s="20">
        <f>Budget!M54-Actuals!M54</f>
        <v>0</v>
      </c>
      <c r="N54" s="20">
        <f>Budget!N54-Actuals!N54</f>
        <v>0</v>
      </c>
      <c r="O54" s="20">
        <f>Budget!O54-Actuals!O54</f>
        <v>0</v>
      </c>
      <c r="P54" s="37">
        <f>SUM(C54:O54)</f>
        <v>0</v>
      </c>
      <c r="R54" s="47"/>
    </row>
    <row r="55" spans="1:18" x14ac:dyDescent="0.25">
      <c r="A55" s="35" t="s">
        <v>195</v>
      </c>
      <c r="B55" s="36"/>
      <c r="C55" s="38" t="str">
        <f>IF(C52+C53+C54+C49=0,"Balanced","Not Balanced")</f>
        <v>Not Balanced</v>
      </c>
      <c r="D55" s="38" t="str">
        <f t="shared" ref="D55:P55" si="14">IF(D52+D53+D54+D49=0,"Balanced","Not Balanced")</f>
        <v>Not Balanced</v>
      </c>
      <c r="E55" s="38" t="str">
        <f t="shared" si="14"/>
        <v>Not Balanced</v>
      </c>
      <c r="F55" s="38" t="str">
        <f t="shared" si="14"/>
        <v>Not Balanced</v>
      </c>
      <c r="G55" s="38" t="str">
        <f t="shared" si="14"/>
        <v>Not Balanced</v>
      </c>
      <c r="H55" s="38" t="str">
        <f t="shared" si="14"/>
        <v>Not Balanced</v>
      </c>
      <c r="I55" s="38" t="str">
        <f t="shared" si="14"/>
        <v>Not Balanced</v>
      </c>
      <c r="J55" s="38" t="str">
        <f t="shared" si="14"/>
        <v>Not Balanced</v>
      </c>
      <c r="K55" s="38" t="str">
        <f t="shared" si="14"/>
        <v>Not Balanced</v>
      </c>
      <c r="L55" s="38" t="str">
        <f t="shared" si="14"/>
        <v>Not Balanced</v>
      </c>
      <c r="M55" s="38" t="str">
        <f t="shared" si="14"/>
        <v>Not Balanced</v>
      </c>
      <c r="N55" s="38" t="str">
        <f t="shared" si="14"/>
        <v>Not Balanced</v>
      </c>
      <c r="O55" s="38" t="str">
        <f t="shared" si="14"/>
        <v>Not Balanced</v>
      </c>
      <c r="P55" s="38" t="str">
        <f t="shared" si="14"/>
        <v>Not Balanced</v>
      </c>
      <c r="R55" s="47"/>
    </row>
    <row r="56" spans="1:18" x14ac:dyDescent="0.25">
      <c r="R56" s="47"/>
    </row>
    <row r="57" spans="1:18" ht="18.75" x14ac:dyDescent="0.25">
      <c r="A57" s="12" t="s">
        <v>197</v>
      </c>
      <c r="R57" s="47"/>
    </row>
    <row r="58" spans="1:18" x14ac:dyDescent="0.25">
      <c r="B58" s="1" t="s">
        <v>199</v>
      </c>
      <c r="C58" s="20">
        <f>Budget!C58-Actuals!C58</f>
        <v>0</v>
      </c>
      <c r="D58" s="20">
        <f>Budget!D58-Actuals!D58</f>
        <v>0</v>
      </c>
      <c r="E58" s="20">
        <f>Budget!E58-Actuals!E58</f>
        <v>0</v>
      </c>
      <c r="F58" s="20">
        <f>Budget!F58-Actuals!F58</f>
        <v>0</v>
      </c>
      <c r="G58" s="20">
        <f>Budget!G58-Actuals!G58</f>
        <v>0</v>
      </c>
      <c r="H58" s="20">
        <f>Budget!H58-Actuals!H58</f>
        <v>0</v>
      </c>
      <c r="I58" s="20">
        <f>Budget!I58-Actuals!I58</f>
        <v>0</v>
      </c>
      <c r="J58" s="20">
        <f>Budget!J58-Actuals!J58</f>
        <v>0</v>
      </c>
      <c r="K58" s="20">
        <f>Budget!K58-Actuals!K58</f>
        <v>0</v>
      </c>
      <c r="L58" s="20">
        <f>Budget!L58-Actuals!L58</f>
        <v>0</v>
      </c>
      <c r="M58" s="20">
        <f>Budget!M58-Actuals!M58</f>
        <v>0</v>
      </c>
      <c r="N58" s="20">
        <f>Budget!N58-Actuals!N58</f>
        <v>0</v>
      </c>
      <c r="O58" s="20">
        <f>Budget!O58-Actuals!O58</f>
        <v>0</v>
      </c>
      <c r="P58" s="37">
        <f>SUM(C58:O58)</f>
        <v>0</v>
      </c>
    </row>
    <row r="59" spans="1:18" x14ac:dyDescent="0.25">
      <c r="B59" s="1" t="s">
        <v>200</v>
      </c>
      <c r="C59" s="20">
        <f>Budget!C59-Actuals!C59</f>
        <v>0</v>
      </c>
      <c r="D59" s="20">
        <f>Budget!D59-Actuals!D59</f>
        <v>0</v>
      </c>
      <c r="E59" s="20">
        <f>Budget!E59-Actuals!E59</f>
        <v>0</v>
      </c>
      <c r="F59" s="20">
        <f>Budget!F59-Actuals!F59</f>
        <v>0</v>
      </c>
      <c r="G59" s="20">
        <f>Budget!G59-Actuals!G59</f>
        <v>0</v>
      </c>
      <c r="H59" s="20">
        <f>Budget!H59-Actuals!H59</f>
        <v>0</v>
      </c>
      <c r="I59" s="20">
        <f>Budget!I59-Actuals!I59</f>
        <v>0</v>
      </c>
      <c r="J59" s="20">
        <f>Budget!J59-Actuals!J59</f>
        <v>0</v>
      </c>
      <c r="K59" s="20">
        <f>Budget!K59-Actuals!K59</f>
        <v>0</v>
      </c>
      <c r="L59" s="20">
        <f>Budget!L59-Actuals!L59</f>
        <v>0</v>
      </c>
      <c r="M59" s="20">
        <f>Budget!M59-Actuals!M59</f>
        <v>0</v>
      </c>
      <c r="N59" s="20">
        <f>Budget!N59-Actuals!N59</f>
        <v>0</v>
      </c>
      <c r="O59" s="20">
        <f>Budget!O59-Actuals!O59</f>
        <v>0</v>
      </c>
      <c r="P59" s="37">
        <f t="shared" ref="P59:P65" si="15">SUM(C59:O59)</f>
        <v>0</v>
      </c>
    </row>
    <row r="60" spans="1:18" x14ac:dyDescent="0.25">
      <c r="B60" s="1" t="s">
        <v>201</v>
      </c>
      <c r="C60" s="20">
        <f>Budget!C60-Actuals!C60</f>
        <v>0</v>
      </c>
      <c r="D60" s="20">
        <f>Budget!D60-Actuals!D60</f>
        <v>0</v>
      </c>
      <c r="E60" s="20">
        <f>Budget!E60-Actuals!E60</f>
        <v>0</v>
      </c>
      <c r="F60" s="20">
        <f>Budget!F60-Actuals!F60</f>
        <v>0</v>
      </c>
      <c r="G60" s="20">
        <f>Budget!G60-Actuals!G60</f>
        <v>0</v>
      </c>
      <c r="H60" s="20">
        <f>Budget!H60-Actuals!H60</f>
        <v>0</v>
      </c>
      <c r="I60" s="20">
        <f>Budget!I60-Actuals!I60</f>
        <v>0</v>
      </c>
      <c r="J60" s="20">
        <f>Budget!J60-Actuals!J60</f>
        <v>0</v>
      </c>
      <c r="K60" s="20">
        <f>Budget!K60-Actuals!K60</f>
        <v>0</v>
      </c>
      <c r="L60" s="20">
        <f>Budget!L60-Actuals!L60</f>
        <v>0</v>
      </c>
      <c r="M60" s="20">
        <f>Budget!M60-Actuals!M60</f>
        <v>0</v>
      </c>
      <c r="N60" s="20">
        <f>Budget!N60-Actuals!N60</f>
        <v>0</v>
      </c>
      <c r="O60" s="20">
        <f>Budget!O60-Actuals!O60</f>
        <v>0</v>
      </c>
      <c r="P60" s="37">
        <f t="shared" si="15"/>
        <v>0</v>
      </c>
    </row>
    <row r="61" spans="1:18" x14ac:dyDescent="0.25">
      <c r="B61" s="1" t="s">
        <v>202</v>
      </c>
      <c r="C61" s="20">
        <f>Budget!C61-Actuals!C61</f>
        <v>0</v>
      </c>
      <c r="D61" s="20">
        <f>Budget!D61-Actuals!D61</f>
        <v>0</v>
      </c>
      <c r="E61" s="20">
        <f>Budget!E61-Actuals!E61</f>
        <v>0</v>
      </c>
      <c r="F61" s="20">
        <f>Budget!F61-Actuals!F61</f>
        <v>0</v>
      </c>
      <c r="G61" s="20">
        <f>Budget!G61-Actuals!G61</f>
        <v>0</v>
      </c>
      <c r="H61" s="20">
        <f>Budget!H61-Actuals!H61</f>
        <v>0</v>
      </c>
      <c r="I61" s="20">
        <f>Budget!I61-Actuals!I61</f>
        <v>0</v>
      </c>
      <c r="J61" s="20">
        <f>Budget!J61-Actuals!J61</f>
        <v>0</v>
      </c>
      <c r="K61" s="20">
        <f>Budget!K61-Actuals!K61</f>
        <v>0</v>
      </c>
      <c r="L61" s="20">
        <f>Budget!L61-Actuals!L61</f>
        <v>0</v>
      </c>
      <c r="M61" s="20">
        <f>Budget!M61-Actuals!M61</f>
        <v>0</v>
      </c>
      <c r="N61" s="20">
        <f>Budget!N61-Actuals!N61</f>
        <v>0</v>
      </c>
      <c r="O61" s="20">
        <f>Budget!O61-Actuals!O61</f>
        <v>0</v>
      </c>
      <c r="P61" s="37">
        <f t="shared" si="15"/>
        <v>0</v>
      </c>
    </row>
    <row r="62" spans="1:18" x14ac:dyDescent="0.25">
      <c r="B62" s="1" t="s">
        <v>203</v>
      </c>
      <c r="C62" s="20">
        <f>Budget!C62-Actuals!C62</f>
        <v>0</v>
      </c>
      <c r="D62" s="20">
        <f>Budget!D62-Actuals!D62</f>
        <v>0</v>
      </c>
      <c r="E62" s="20">
        <f>Budget!E62-Actuals!E62</f>
        <v>0</v>
      </c>
      <c r="F62" s="20">
        <f>Budget!F62-Actuals!F62</f>
        <v>0</v>
      </c>
      <c r="G62" s="20">
        <f>Budget!G62-Actuals!G62</f>
        <v>0</v>
      </c>
      <c r="H62" s="20">
        <f>Budget!H62-Actuals!H62</f>
        <v>0</v>
      </c>
      <c r="I62" s="20">
        <f>Budget!I62-Actuals!I62</f>
        <v>0</v>
      </c>
      <c r="J62" s="20">
        <f>Budget!J62-Actuals!J62</f>
        <v>0</v>
      </c>
      <c r="K62" s="20">
        <f>Budget!K62-Actuals!K62</f>
        <v>0</v>
      </c>
      <c r="L62" s="20">
        <f>Budget!L62-Actuals!L62</f>
        <v>0</v>
      </c>
      <c r="M62" s="20">
        <f>Budget!M62-Actuals!M62</f>
        <v>0</v>
      </c>
      <c r="N62" s="20">
        <f>Budget!N62-Actuals!N62</f>
        <v>0</v>
      </c>
      <c r="O62" s="20">
        <f>Budget!O62-Actuals!O62</f>
        <v>0</v>
      </c>
      <c r="P62" s="37">
        <f t="shared" si="15"/>
        <v>0</v>
      </c>
    </row>
    <row r="63" spans="1:18" x14ac:dyDescent="0.25">
      <c r="B63" s="1" t="s">
        <v>204</v>
      </c>
      <c r="C63" s="20">
        <f>Budget!C63-Actuals!C63</f>
        <v>0</v>
      </c>
      <c r="D63" s="20">
        <f>Budget!D63-Actuals!D63</f>
        <v>0</v>
      </c>
      <c r="E63" s="20">
        <f>Budget!E63-Actuals!E63</f>
        <v>0</v>
      </c>
      <c r="F63" s="20">
        <f>Budget!F63-Actuals!F63</f>
        <v>0</v>
      </c>
      <c r="G63" s="20">
        <f>Budget!G63-Actuals!G63</f>
        <v>0</v>
      </c>
      <c r="H63" s="20">
        <f>Budget!H63-Actuals!H63</f>
        <v>0</v>
      </c>
      <c r="I63" s="20">
        <f>Budget!I63-Actuals!I63</f>
        <v>0</v>
      </c>
      <c r="J63" s="20">
        <f>Budget!J63-Actuals!J63</f>
        <v>0</v>
      </c>
      <c r="K63" s="20">
        <f>Budget!K63-Actuals!K63</f>
        <v>0</v>
      </c>
      <c r="L63" s="20">
        <f>Budget!L63-Actuals!L63</f>
        <v>0</v>
      </c>
      <c r="M63" s="20">
        <f>Budget!M63-Actuals!M63</f>
        <v>0</v>
      </c>
      <c r="N63" s="20">
        <f>Budget!N63-Actuals!N63</f>
        <v>0</v>
      </c>
      <c r="O63" s="20">
        <f>Budget!O63-Actuals!O63</f>
        <v>0</v>
      </c>
      <c r="P63" s="37">
        <f t="shared" si="15"/>
        <v>0</v>
      </c>
    </row>
    <row r="64" spans="1:18" x14ac:dyDescent="0.25">
      <c r="B64" s="1" t="s">
        <v>205</v>
      </c>
      <c r="C64" s="20">
        <f>Budget!C64-Actuals!C64</f>
        <v>0</v>
      </c>
      <c r="D64" s="20">
        <f>Budget!D64-Actuals!D64</f>
        <v>0</v>
      </c>
      <c r="E64" s="20">
        <f>Budget!E64-Actuals!E64</f>
        <v>0</v>
      </c>
      <c r="F64" s="20">
        <f>Budget!F64-Actuals!F64</f>
        <v>0</v>
      </c>
      <c r="G64" s="20">
        <f>Budget!G64-Actuals!G64</f>
        <v>0</v>
      </c>
      <c r="H64" s="20">
        <f>Budget!H64-Actuals!H64</f>
        <v>0</v>
      </c>
      <c r="I64" s="20">
        <f>Budget!I64-Actuals!I64</f>
        <v>0</v>
      </c>
      <c r="J64" s="20">
        <f>Budget!J64-Actuals!J64</f>
        <v>0</v>
      </c>
      <c r="K64" s="20">
        <f>Budget!K64-Actuals!K64</f>
        <v>0</v>
      </c>
      <c r="L64" s="20">
        <f>Budget!L64-Actuals!L64</f>
        <v>0</v>
      </c>
      <c r="M64" s="20">
        <f>Budget!M64-Actuals!M64</f>
        <v>0</v>
      </c>
      <c r="N64" s="20">
        <f>Budget!N64-Actuals!N64</f>
        <v>0</v>
      </c>
      <c r="O64" s="20">
        <f>Budget!O64-Actuals!O64</f>
        <v>0</v>
      </c>
      <c r="P64" s="37">
        <f t="shared" si="15"/>
        <v>0</v>
      </c>
    </row>
    <row r="65" spans="1:16" x14ac:dyDescent="0.25">
      <c r="B65" s="1" t="s">
        <v>206</v>
      </c>
      <c r="C65" s="20">
        <f>Budget!C65-Actuals!C65</f>
        <v>0</v>
      </c>
      <c r="D65" s="20">
        <f>Budget!D65-Actuals!D65</f>
        <v>0</v>
      </c>
      <c r="E65" s="20">
        <f>Budget!E65-Actuals!E65</f>
        <v>0</v>
      </c>
      <c r="F65" s="20">
        <f>Budget!F65-Actuals!F65</f>
        <v>0</v>
      </c>
      <c r="G65" s="20">
        <f>Budget!G65-Actuals!G65</f>
        <v>0</v>
      </c>
      <c r="H65" s="20">
        <f>Budget!H65-Actuals!H65</f>
        <v>0</v>
      </c>
      <c r="I65" s="20">
        <f>Budget!I65-Actuals!I65</f>
        <v>0</v>
      </c>
      <c r="J65" s="20">
        <f>Budget!J65-Actuals!J65</f>
        <v>0</v>
      </c>
      <c r="K65" s="20">
        <f>Budget!K65-Actuals!K65</f>
        <v>0</v>
      </c>
      <c r="L65" s="20">
        <f>Budget!L65-Actuals!L65</f>
        <v>0</v>
      </c>
      <c r="M65" s="20">
        <f>Budget!M65-Actuals!M65</f>
        <v>0</v>
      </c>
      <c r="N65" s="20">
        <f>Budget!N65-Actuals!N65</f>
        <v>0</v>
      </c>
      <c r="O65" s="20">
        <f>Budget!O65-Actuals!O65</f>
        <v>0</v>
      </c>
      <c r="P65" s="17">
        <f t="shared" si="15"/>
        <v>0</v>
      </c>
    </row>
    <row r="66" spans="1:16" ht="15.75" thickBot="1" x14ac:dyDescent="0.3">
      <c r="B66" s="11" t="s">
        <v>207</v>
      </c>
      <c r="C66" s="19">
        <f>SUM(C58:C65)</f>
        <v>0</v>
      </c>
      <c r="D66" s="19">
        <f t="shared" ref="D66:P66" si="16">SUM(D58:D65)</f>
        <v>0</v>
      </c>
      <c r="E66" s="19">
        <f t="shared" si="16"/>
        <v>0</v>
      </c>
      <c r="F66" s="19">
        <f t="shared" si="16"/>
        <v>0</v>
      </c>
      <c r="G66" s="19">
        <f t="shared" si="16"/>
        <v>0</v>
      </c>
      <c r="H66" s="19">
        <f t="shared" si="16"/>
        <v>0</v>
      </c>
      <c r="I66" s="19">
        <f t="shared" si="16"/>
        <v>0</v>
      </c>
      <c r="J66" s="19">
        <f t="shared" si="16"/>
        <v>0</v>
      </c>
      <c r="K66" s="19">
        <f t="shared" si="16"/>
        <v>0</v>
      </c>
      <c r="L66" s="19">
        <f t="shared" si="16"/>
        <v>0</v>
      </c>
      <c r="M66" s="19">
        <f t="shared" si="16"/>
        <v>0</v>
      </c>
      <c r="N66" s="19">
        <f t="shared" si="16"/>
        <v>0</v>
      </c>
      <c r="O66" s="19">
        <f t="shared" si="16"/>
        <v>0</v>
      </c>
      <c r="P66" s="19">
        <f t="shared" si="16"/>
        <v>0</v>
      </c>
    </row>
    <row r="67" spans="1:16" ht="16.5" thickTop="1" thickBot="1" x14ac:dyDescent="0.3">
      <c r="B67" s="44" t="s">
        <v>208</v>
      </c>
      <c r="C67" s="175">
        <f>C27+C47+C52+C53+C66</f>
        <v>0</v>
      </c>
      <c r="D67" s="175">
        <f t="shared" ref="D67:P67" si="17">D27+D47+D52+D53+D66</f>
        <v>0</v>
      </c>
      <c r="E67" s="175">
        <f t="shared" si="17"/>
        <v>0</v>
      </c>
      <c r="F67" s="175">
        <f t="shared" si="17"/>
        <v>0</v>
      </c>
      <c r="G67" s="175">
        <f t="shared" si="17"/>
        <v>0</v>
      </c>
      <c r="H67" s="175">
        <f t="shared" si="17"/>
        <v>0</v>
      </c>
      <c r="I67" s="175">
        <f t="shared" si="17"/>
        <v>0</v>
      </c>
      <c r="J67" s="175">
        <f t="shared" si="17"/>
        <v>0</v>
      </c>
      <c r="K67" s="175">
        <f t="shared" si="17"/>
        <v>0</v>
      </c>
      <c r="L67" s="175">
        <f t="shared" si="17"/>
        <v>0</v>
      </c>
      <c r="M67" s="175">
        <f t="shared" si="17"/>
        <v>0</v>
      </c>
      <c r="N67" s="175">
        <f t="shared" si="17"/>
        <v>0</v>
      </c>
      <c r="O67" s="175">
        <f t="shared" si="17"/>
        <v>0</v>
      </c>
      <c r="P67" s="175">
        <f t="shared" si="17"/>
        <v>0</v>
      </c>
    </row>
    <row r="68" spans="1:16" ht="16.5" thickTop="1" thickBot="1" x14ac:dyDescent="0.3">
      <c r="A68" s="11" t="s">
        <v>213</v>
      </c>
      <c r="B68" s="11"/>
      <c r="C68" s="175">
        <f>C15-C67</f>
        <v>3244.8100000000004</v>
      </c>
      <c r="D68" s="175">
        <f t="shared" ref="D68:P68" si="18">D15-D67</f>
        <v>2103.0700000000002</v>
      </c>
      <c r="E68" s="175">
        <f t="shared" si="18"/>
        <v>2103.0700000000002</v>
      </c>
      <c r="F68" s="175">
        <f t="shared" si="18"/>
        <v>2103.0700000000002</v>
      </c>
      <c r="G68" s="175">
        <f t="shared" si="18"/>
        <v>2103.0700000000002</v>
      </c>
      <c r="H68" s="175">
        <f t="shared" si="18"/>
        <v>2103.0700000000002</v>
      </c>
      <c r="I68" s="175">
        <f t="shared" si="18"/>
        <v>2103.0700000000002</v>
      </c>
      <c r="J68" s="175">
        <f t="shared" si="18"/>
        <v>2103.0700000000002</v>
      </c>
      <c r="K68" s="175">
        <f t="shared" si="18"/>
        <v>2103.0700000000002</v>
      </c>
      <c r="L68" s="175">
        <f t="shared" si="18"/>
        <v>2103.0700000000002</v>
      </c>
      <c r="M68" s="175">
        <f t="shared" si="18"/>
        <v>2103.0700000000002</v>
      </c>
      <c r="N68" s="175">
        <f t="shared" si="18"/>
        <v>2103.0700000000002</v>
      </c>
      <c r="O68" s="175">
        <f t="shared" si="18"/>
        <v>2103.0700000000002</v>
      </c>
      <c r="P68" s="175">
        <f t="shared" si="18"/>
        <v>28481.649999999998</v>
      </c>
    </row>
    <row r="69" spans="1:16" ht="15.75" thickTop="1" x14ac:dyDescent="0.25"/>
  </sheetData>
  <sheetProtection algorithmName="SHA-512" hashValue="EmfWzm9i6rJz5g0FPinIv9om7aWeq1JOcWE+61brIsdriB22s2J+85odl4u7o7fERrv7WuWhxB08Pqeyd8Cxdg==" saltValue="w6EaodbVng908SvuTO4ZwA==" spinCount="100000" sheet="1" objects="1" scenarios="1"/>
  <mergeCells count="2">
    <mergeCell ref="A3:B4"/>
    <mergeCell ref="C3:C4"/>
  </mergeCells>
  <printOptions gridLines="1"/>
  <pageMargins left="0.25" right="0.25" top="0.75" bottom="0.75" header="0.3" footer="0.3"/>
  <pageSetup paperSize="5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9"/>
  <sheetViews>
    <sheetView zoomScale="78" zoomScaleNormal="78" workbookViewId="0">
      <pane xSplit="2" ySplit="4" topLeftCell="C5" activePane="bottomRight" state="frozen"/>
      <selection pane="topRight" activeCell="H42" sqref="H42"/>
      <selection pane="bottomLeft" activeCell="H42" sqref="H42"/>
      <selection pane="bottomRight" activeCell="H42" sqref="H42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1.5703125" style="1" customWidth="1"/>
    <col min="17" max="17" width="1.42578125" style="1" customWidth="1"/>
    <col min="18" max="18" width="49.5703125" style="21" customWidth="1"/>
    <col min="19" max="16384" width="9.140625" style="1"/>
  </cols>
  <sheetData>
    <row r="1" spans="1:18" ht="28.5" x14ac:dyDescent="0.25">
      <c r="A1" s="4" t="s">
        <v>216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1, GNumber:</v>
      </c>
      <c r="D1" s="5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3.75" customHeight="1" x14ac:dyDescent="0.25"/>
    <row r="3" spans="1:18" ht="18.75" customHeight="1" x14ac:dyDescent="0.25">
      <c r="A3" s="357"/>
      <c r="B3" s="359"/>
      <c r="C3" s="393" t="s">
        <v>147</v>
      </c>
      <c r="D3" s="54" t="s">
        <v>148</v>
      </c>
      <c r="E3" s="48" t="s">
        <v>149</v>
      </c>
      <c r="F3" s="48" t="s">
        <v>150</v>
      </c>
      <c r="G3" s="48" t="s">
        <v>151</v>
      </c>
      <c r="H3" s="48" t="s">
        <v>152</v>
      </c>
      <c r="I3" s="48" t="s">
        <v>153</v>
      </c>
      <c r="J3" s="48" t="s">
        <v>154</v>
      </c>
      <c r="K3" s="48" t="s">
        <v>155</v>
      </c>
      <c r="L3" s="48" t="s">
        <v>156</v>
      </c>
      <c r="M3" s="48" t="s">
        <v>157</v>
      </c>
      <c r="N3" s="48" t="s">
        <v>158</v>
      </c>
      <c r="O3" s="48" t="s">
        <v>159</v>
      </c>
      <c r="P3" s="48" t="s">
        <v>44</v>
      </c>
      <c r="R3" s="22" t="s">
        <v>160</v>
      </c>
    </row>
    <row r="4" spans="1:18" ht="23.25" customHeight="1" x14ac:dyDescent="0.25">
      <c r="A4" s="363"/>
      <c r="B4" s="365"/>
      <c r="C4" s="394"/>
      <c r="D4" s="55">
        <f>IF('User Input Sheet'!$C$14&gt;0, 'User Input Sheet'!C14, "")</f>
        <v>44166</v>
      </c>
      <c r="E4" s="55">
        <f>IF('User Input Sheet'!$C$14&gt;0, 'User Input Sheet'!U14, "")</f>
        <v>44197</v>
      </c>
      <c r="F4" s="55">
        <f>IF('User Input Sheet'!$C$14&gt;0, 'User Input Sheet'!V14, "")</f>
        <v>44228</v>
      </c>
      <c r="G4" s="55">
        <f>IF('User Input Sheet'!$C$14&gt;0, 'User Input Sheet'!W14, "")</f>
        <v>44256</v>
      </c>
      <c r="H4" s="55">
        <f>IF('User Input Sheet'!$C$14&gt;0, 'User Input Sheet'!X14, "")</f>
        <v>44287</v>
      </c>
      <c r="I4" s="55">
        <f>IF('User Input Sheet'!$C$14&gt;0, 'User Input Sheet'!Y14, "")</f>
        <v>44317</v>
      </c>
      <c r="J4" s="55">
        <f>IF('User Input Sheet'!$C$14&gt;0, 'User Input Sheet'!Z14, "")</f>
        <v>44348</v>
      </c>
      <c r="K4" s="55">
        <f>IF('User Input Sheet'!$C$14&gt;0, 'User Input Sheet'!AA14, "")</f>
        <v>44378</v>
      </c>
      <c r="L4" s="55">
        <f>IF('User Input Sheet'!$C$14&gt;0, 'User Input Sheet'!AB14, "")</f>
        <v>44409</v>
      </c>
      <c r="M4" s="55">
        <f>IF('User Input Sheet'!$C$14&gt;0, 'User Input Sheet'!AC14, "")</f>
        <v>44440</v>
      </c>
      <c r="N4" s="55">
        <f>IF('User Input Sheet'!$C$14&gt;0, 'User Input Sheet'!AD14, "")</f>
        <v>44470</v>
      </c>
      <c r="O4" s="55">
        <f>IF('User Input Sheet'!$C$14&gt;0, 'User Input Sheet'!AE14, "")</f>
        <v>44501</v>
      </c>
      <c r="P4" s="49"/>
      <c r="R4" s="23" t="s">
        <v>161</v>
      </c>
    </row>
    <row r="5" spans="1:18" ht="18.75" x14ac:dyDescent="0.25">
      <c r="A5" s="12" t="s">
        <v>162</v>
      </c>
      <c r="B5" s="2"/>
      <c r="C5" s="2"/>
      <c r="D5" s="2"/>
      <c r="E5" s="2"/>
      <c r="F5" s="2"/>
      <c r="G5" s="2"/>
      <c r="R5" s="21" t="s">
        <v>215</v>
      </c>
    </row>
    <row r="6" spans="1:18" x14ac:dyDescent="0.25">
      <c r="A6" s="8"/>
      <c r="B6" s="7" t="s">
        <v>128</v>
      </c>
      <c r="C6" s="20">
        <f>IF(Actuals!C$15&gt;0,Actuals!C6,Budget!C6)</f>
        <v>0</v>
      </c>
      <c r="D6" s="20">
        <f>IF(Actuals!D$15&gt;0,Actuals!D6,Budget!D6)</f>
        <v>1082</v>
      </c>
      <c r="E6" s="20">
        <f>IF(Actuals!E$15&gt;0,Actuals!E6,Budget!E6)</f>
        <v>1082</v>
      </c>
      <c r="F6" s="20">
        <f>IF(Actuals!F$15&gt;0,Actuals!F6,Budget!F6)</f>
        <v>1082</v>
      </c>
      <c r="G6" s="20">
        <f>IF(Actuals!G$15&gt;0,Actuals!G6,Budget!G6)</f>
        <v>1082</v>
      </c>
      <c r="H6" s="20">
        <f>IF(Actuals!H$15&gt;0,Actuals!H6,Budget!H6)</f>
        <v>1082</v>
      </c>
      <c r="I6" s="20">
        <f>IF(Actuals!I$15&gt;0,Actuals!I6,Budget!I6)</f>
        <v>1082</v>
      </c>
      <c r="J6" s="20">
        <f>IF(Actuals!J$15&gt;0,Actuals!J6,Budget!J6)</f>
        <v>1082</v>
      </c>
      <c r="K6" s="20">
        <f>IF(Actuals!K$15&gt;0,Actuals!K6,Budget!K6)</f>
        <v>1082</v>
      </c>
      <c r="L6" s="20">
        <f>IF(Actuals!L$15&gt;0,Actuals!L6,Budget!L6)</f>
        <v>1082</v>
      </c>
      <c r="M6" s="20">
        <f>IF(Actuals!M$15&gt;0,Actuals!M6,Budget!M6)</f>
        <v>1082</v>
      </c>
      <c r="N6" s="20">
        <f>IF(Actuals!N$15&gt;0,Actuals!N6,Budget!N6)</f>
        <v>1082</v>
      </c>
      <c r="O6" s="20">
        <f>IF(Actuals!O$15&gt;0,Actuals!O6,Budget!O6)</f>
        <v>1082</v>
      </c>
      <c r="P6" s="37">
        <f t="shared" ref="P6:P13" si="0">SUM(C6:O6)</f>
        <v>12984</v>
      </c>
    </row>
    <row r="7" spans="1:18" x14ac:dyDescent="0.25">
      <c r="A7" s="8"/>
      <c r="B7" s="7" t="s">
        <v>165</v>
      </c>
      <c r="C7" s="20">
        <f>IF(Actuals!C$15&gt;0,Actuals!C7,Budget!C7)</f>
        <v>84.56</v>
      </c>
      <c r="D7" s="20">
        <f>IF(Actuals!D$15&gt;0,Actuals!D7,Budget!D7)</f>
        <v>0</v>
      </c>
      <c r="E7" s="20">
        <f>IF(Actuals!E$15&gt;0,Actuals!E7,Budget!E7)</f>
        <v>0</v>
      </c>
      <c r="F7" s="20">
        <f>IF(Actuals!F$15&gt;0,Actuals!F7,Budget!F7)</f>
        <v>0</v>
      </c>
      <c r="G7" s="20">
        <f>IF(Actuals!G$15&gt;0,Actuals!G7,Budget!G7)</f>
        <v>0</v>
      </c>
      <c r="H7" s="20">
        <f>IF(Actuals!H$15&gt;0,Actuals!H7,Budget!H7)</f>
        <v>0</v>
      </c>
      <c r="I7" s="20">
        <f>IF(Actuals!I$15&gt;0,Actuals!I7,Budget!I7)</f>
        <v>0</v>
      </c>
      <c r="J7" s="20">
        <f>IF(Actuals!J$15&gt;0,Actuals!J7,Budget!J7)</f>
        <v>0</v>
      </c>
      <c r="K7" s="20">
        <f>IF(Actuals!K$15&gt;0,Actuals!K7,Budget!K7)</f>
        <v>0</v>
      </c>
      <c r="L7" s="20">
        <f>IF(Actuals!L$15&gt;0,Actuals!L7,Budget!L7)</f>
        <v>0</v>
      </c>
      <c r="M7" s="20">
        <f>IF(Actuals!M$15&gt;0,Actuals!M7,Budget!M7)</f>
        <v>0</v>
      </c>
      <c r="N7" s="20">
        <f>IF(Actuals!N$15&gt;0,Actuals!N7,Budget!N7)</f>
        <v>0</v>
      </c>
      <c r="O7" s="20">
        <f>IF(Actuals!O$15&gt;0,Actuals!O7,Budget!O7)</f>
        <v>0</v>
      </c>
      <c r="P7" s="37">
        <f t="shared" si="0"/>
        <v>84.56</v>
      </c>
    </row>
    <row r="8" spans="1:18" x14ac:dyDescent="0.25">
      <c r="A8" s="8"/>
      <c r="B8" s="7" t="s">
        <v>130</v>
      </c>
      <c r="C8" s="20">
        <f>IF(Actuals!C$15&gt;0,Actuals!C8,Budget!C8)</f>
        <v>1634.15</v>
      </c>
      <c r="D8" s="20">
        <f>IF(Actuals!D$15&gt;0,Actuals!D8,Budget!D8)</f>
        <v>0</v>
      </c>
      <c r="E8" s="20">
        <f>IF(Actuals!E$15&gt;0,Actuals!E8,Budget!E8)</f>
        <v>0</v>
      </c>
      <c r="F8" s="20">
        <f>IF(Actuals!F$15&gt;0,Actuals!F8,Budget!F8)</f>
        <v>0</v>
      </c>
      <c r="G8" s="20">
        <f>IF(Actuals!G$15&gt;0,Actuals!G8,Budget!G8)</f>
        <v>0</v>
      </c>
      <c r="H8" s="20">
        <f>IF(Actuals!H$15&gt;0,Actuals!H8,Budget!H8)</f>
        <v>0</v>
      </c>
      <c r="I8" s="20">
        <f>IF(Actuals!I$15&gt;0,Actuals!I8,Budget!I8)</f>
        <v>0</v>
      </c>
      <c r="J8" s="20">
        <f>IF(Actuals!J$15&gt;0,Actuals!J8,Budget!J8)</f>
        <v>0</v>
      </c>
      <c r="K8" s="20">
        <f>IF(Actuals!K$15&gt;0,Actuals!K8,Budget!K8)</f>
        <v>0</v>
      </c>
      <c r="L8" s="20">
        <f>IF(Actuals!L$15&gt;0,Actuals!L8,Budget!L8)</f>
        <v>0</v>
      </c>
      <c r="M8" s="20">
        <f>IF(Actuals!M$15&gt;0,Actuals!M8,Budget!M8)</f>
        <v>0</v>
      </c>
      <c r="N8" s="20">
        <f>IF(Actuals!N$15&gt;0,Actuals!N8,Budget!N8)</f>
        <v>0</v>
      </c>
      <c r="O8" s="20">
        <f>IF(Actuals!O$15&gt;0,Actuals!O8,Budget!O8)</f>
        <v>0</v>
      </c>
      <c r="P8" s="37">
        <f t="shared" si="0"/>
        <v>1634.15</v>
      </c>
    </row>
    <row r="9" spans="1:18" x14ac:dyDescent="0.25">
      <c r="A9" s="8"/>
      <c r="B9" s="7" t="s">
        <v>168</v>
      </c>
      <c r="C9" s="20">
        <f>IF(Actuals!C$15&gt;0,Actuals!C9,Budget!C9)</f>
        <v>245.74</v>
      </c>
      <c r="D9" s="20">
        <f>IF(Actuals!D$15&gt;0,Actuals!D9,Budget!D9)</f>
        <v>786</v>
      </c>
      <c r="E9" s="20">
        <f>IF(Actuals!E$15&gt;0,Actuals!E9,Budget!E9)</f>
        <v>786</v>
      </c>
      <c r="F9" s="20">
        <f>IF(Actuals!F$15&gt;0,Actuals!F9,Budget!F9)</f>
        <v>786</v>
      </c>
      <c r="G9" s="20">
        <f>IF(Actuals!G$15&gt;0,Actuals!G9,Budget!G9)</f>
        <v>786</v>
      </c>
      <c r="H9" s="20">
        <f>IF(Actuals!H$15&gt;0,Actuals!H9,Budget!H9)</f>
        <v>786</v>
      </c>
      <c r="I9" s="20">
        <f>IF(Actuals!I$15&gt;0,Actuals!I9,Budget!I9)</f>
        <v>786</v>
      </c>
      <c r="J9" s="20">
        <f>IF(Actuals!J$15&gt;0,Actuals!J9,Budget!J9)</f>
        <v>786</v>
      </c>
      <c r="K9" s="20">
        <f>IF(Actuals!K$15&gt;0,Actuals!K9,Budget!K9)</f>
        <v>786</v>
      </c>
      <c r="L9" s="20">
        <f>IF(Actuals!L$15&gt;0,Actuals!L9,Budget!L9)</f>
        <v>786</v>
      </c>
      <c r="M9" s="20">
        <f>IF(Actuals!M$15&gt;0,Actuals!M9,Budget!M9)</f>
        <v>786</v>
      </c>
      <c r="N9" s="20">
        <f>IF(Actuals!N$15&gt;0,Actuals!N9,Budget!N9)</f>
        <v>786</v>
      </c>
      <c r="O9" s="20">
        <f>IF(Actuals!O$15&gt;0,Actuals!O9,Budget!O9)</f>
        <v>786</v>
      </c>
      <c r="P9" s="37">
        <f t="shared" si="0"/>
        <v>9677.74</v>
      </c>
    </row>
    <row r="10" spans="1:18" x14ac:dyDescent="0.25">
      <c r="A10" s="8"/>
      <c r="B10" s="7" t="s">
        <v>129</v>
      </c>
      <c r="C10" s="20">
        <f>IF(Actuals!C$15&gt;0,Actuals!C10,Budget!C10)</f>
        <v>563.45000000000005</v>
      </c>
      <c r="D10" s="20">
        <f>IF(Actuals!D$15&gt;0,Actuals!D10,Budget!D10)</f>
        <v>0</v>
      </c>
      <c r="E10" s="20">
        <f>IF(Actuals!E$15&gt;0,Actuals!E10,Budget!E10)</f>
        <v>0</v>
      </c>
      <c r="F10" s="20">
        <f>IF(Actuals!F$15&gt;0,Actuals!F10,Budget!F10)</f>
        <v>0</v>
      </c>
      <c r="G10" s="20">
        <f>IF(Actuals!G$15&gt;0,Actuals!G10,Budget!G10)</f>
        <v>0</v>
      </c>
      <c r="H10" s="20">
        <f>IF(Actuals!H$15&gt;0,Actuals!H10,Budget!H10)</f>
        <v>0</v>
      </c>
      <c r="I10" s="20">
        <f>IF(Actuals!I$15&gt;0,Actuals!I10,Budget!I10)</f>
        <v>0</v>
      </c>
      <c r="J10" s="20">
        <f>IF(Actuals!J$15&gt;0,Actuals!J10,Budget!J10)</f>
        <v>0</v>
      </c>
      <c r="K10" s="20">
        <f>IF(Actuals!K$15&gt;0,Actuals!K10,Budget!K10)</f>
        <v>0</v>
      </c>
      <c r="L10" s="20">
        <f>IF(Actuals!L$15&gt;0,Actuals!L10,Budget!L10)</f>
        <v>0</v>
      </c>
      <c r="M10" s="20">
        <f>IF(Actuals!M$15&gt;0,Actuals!M10,Budget!M10)</f>
        <v>0</v>
      </c>
      <c r="N10" s="20">
        <f>IF(Actuals!N$15&gt;0,Actuals!N10,Budget!N10)</f>
        <v>0</v>
      </c>
      <c r="O10" s="20">
        <f>IF(Actuals!O$15&gt;0,Actuals!O10,Budget!O10)</f>
        <v>0</v>
      </c>
      <c r="P10" s="37">
        <f t="shared" si="0"/>
        <v>563.45000000000005</v>
      </c>
    </row>
    <row r="11" spans="1:18" x14ac:dyDescent="0.25">
      <c r="A11" s="8"/>
      <c r="B11" s="7" t="s">
        <v>170</v>
      </c>
      <c r="C11" s="20">
        <f>IF(Actuals!C$15&gt;0,Actuals!C11,Budget!C11)</f>
        <v>0</v>
      </c>
      <c r="D11" s="20">
        <f>IF(Actuals!D$15&gt;0,Actuals!D11,Budget!D11)</f>
        <v>156</v>
      </c>
      <c r="E11" s="20">
        <f>IF(Actuals!E$15&gt;0,Actuals!E11,Budget!E11)</f>
        <v>156</v>
      </c>
      <c r="F11" s="20">
        <f>IF(Actuals!F$15&gt;0,Actuals!F11,Budget!F11)</f>
        <v>156</v>
      </c>
      <c r="G11" s="20">
        <f>IF(Actuals!G$15&gt;0,Actuals!G11,Budget!G11)</f>
        <v>156</v>
      </c>
      <c r="H11" s="20">
        <f>IF(Actuals!H$15&gt;0,Actuals!H11,Budget!H11)</f>
        <v>156</v>
      </c>
      <c r="I11" s="20">
        <f>IF(Actuals!I$15&gt;0,Actuals!I11,Budget!I11)</f>
        <v>156</v>
      </c>
      <c r="J11" s="20">
        <f>IF(Actuals!J$15&gt;0,Actuals!J11,Budget!J11)</f>
        <v>156</v>
      </c>
      <c r="K11" s="20">
        <f>IF(Actuals!K$15&gt;0,Actuals!K11,Budget!K11)</f>
        <v>156</v>
      </c>
      <c r="L11" s="20">
        <f>IF(Actuals!L$15&gt;0,Actuals!L11,Budget!L11)</f>
        <v>156</v>
      </c>
      <c r="M11" s="20">
        <f>IF(Actuals!M$15&gt;0,Actuals!M11,Budget!M11)</f>
        <v>156</v>
      </c>
      <c r="N11" s="20">
        <f>IF(Actuals!N$15&gt;0,Actuals!N11,Budget!N11)</f>
        <v>156</v>
      </c>
      <c r="O11" s="20">
        <f>IF(Actuals!O$15&gt;0,Actuals!O11,Budget!O11)</f>
        <v>156</v>
      </c>
      <c r="P11" s="37">
        <f t="shared" si="0"/>
        <v>1872</v>
      </c>
    </row>
    <row r="12" spans="1:18" x14ac:dyDescent="0.25">
      <c r="A12" s="8"/>
      <c r="B12" s="7" t="s">
        <v>172</v>
      </c>
      <c r="C12" s="20">
        <f>IF(Actuals!C$15&gt;0,Actuals!C12,Budget!C12)</f>
        <v>0</v>
      </c>
      <c r="D12" s="20">
        <f>IF(Actuals!D$15&gt;0,Actuals!D12,Budget!D12)</f>
        <v>79.069999999999993</v>
      </c>
      <c r="E12" s="20">
        <f>IF(Actuals!E$15&gt;0,Actuals!E12,Budget!E12)</f>
        <v>79.069999999999993</v>
      </c>
      <c r="F12" s="20">
        <f>IF(Actuals!F$15&gt;0,Actuals!F12,Budget!F12)</f>
        <v>79.069999999999993</v>
      </c>
      <c r="G12" s="20">
        <f>IF(Actuals!G$15&gt;0,Actuals!G12,Budget!G12)</f>
        <v>79.069999999999993</v>
      </c>
      <c r="H12" s="20">
        <f>IF(Actuals!H$15&gt;0,Actuals!H12,Budget!H12)</f>
        <v>79.069999999999993</v>
      </c>
      <c r="I12" s="20">
        <f>IF(Actuals!I$15&gt;0,Actuals!I12,Budget!I12)</f>
        <v>79.069999999999993</v>
      </c>
      <c r="J12" s="20">
        <f>IF(Actuals!J$15&gt;0,Actuals!J12,Budget!J12)</f>
        <v>79.069999999999993</v>
      </c>
      <c r="K12" s="20">
        <f>IF(Actuals!K$15&gt;0,Actuals!K12,Budget!K12)</f>
        <v>79.069999999999993</v>
      </c>
      <c r="L12" s="20">
        <f>IF(Actuals!L$15&gt;0,Actuals!L12,Budget!L12)</f>
        <v>79.069999999999993</v>
      </c>
      <c r="M12" s="20">
        <f>IF(Actuals!M$15&gt;0,Actuals!M12,Budget!M12)</f>
        <v>79.069999999999993</v>
      </c>
      <c r="N12" s="20">
        <f>IF(Actuals!N$15&gt;0,Actuals!N12,Budget!N12)</f>
        <v>79.069999999999993</v>
      </c>
      <c r="O12" s="20">
        <f>IF(Actuals!O$15&gt;0,Actuals!O12,Budget!O12)</f>
        <v>79.069999999999993</v>
      </c>
      <c r="P12" s="37">
        <f t="shared" si="0"/>
        <v>948.83999999999969</v>
      </c>
    </row>
    <row r="13" spans="1:18" x14ac:dyDescent="0.25">
      <c r="A13" s="8"/>
      <c r="B13" s="7" t="s">
        <v>174</v>
      </c>
      <c r="C13" s="20">
        <f>IF(Actuals!C$15&gt;0,Actuals!C13,Budget!C13)</f>
        <v>716.91000000000008</v>
      </c>
      <c r="D13" s="20">
        <f>IF(Actuals!D$15&gt;0,Actuals!D13,Budget!D13)</f>
        <v>0</v>
      </c>
      <c r="E13" s="20">
        <f>IF(Actuals!E$15&gt;0,Actuals!E13,Budget!E13)</f>
        <v>0</v>
      </c>
      <c r="F13" s="20">
        <f>IF(Actuals!F$15&gt;0,Actuals!F13,Budget!F13)</f>
        <v>0</v>
      </c>
      <c r="G13" s="20">
        <f>IF(Actuals!G$15&gt;0,Actuals!G13,Budget!G13)</f>
        <v>0</v>
      </c>
      <c r="H13" s="20">
        <f>IF(Actuals!H$15&gt;0,Actuals!H13,Budget!H13)</f>
        <v>0</v>
      </c>
      <c r="I13" s="20">
        <f>IF(Actuals!I$15&gt;0,Actuals!I13,Budget!I13)</f>
        <v>0</v>
      </c>
      <c r="J13" s="20">
        <f>IF(Actuals!J$15&gt;0,Actuals!J13,Budget!J13)</f>
        <v>0</v>
      </c>
      <c r="K13" s="20">
        <f>IF(Actuals!K$15&gt;0,Actuals!K13,Budget!K13)</f>
        <v>0</v>
      </c>
      <c r="L13" s="20">
        <f>IF(Actuals!L$15&gt;0,Actuals!L13,Budget!L13)</f>
        <v>0</v>
      </c>
      <c r="M13" s="20">
        <f>IF(Actuals!M$15&gt;0,Actuals!M13,Budget!M13)</f>
        <v>0</v>
      </c>
      <c r="N13" s="20">
        <f>IF(Actuals!N$15&gt;0,Actuals!N13,Budget!N13)</f>
        <v>0</v>
      </c>
      <c r="O13" s="20">
        <f>IF(Actuals!O$15&gt;0,Actuals!O13,Budget!O13)</f>
        <v>0</v>
      </c>
      <c r="P13" s="37">
        <f t="shared" si="0"/>
        <v>716.91000000000008</v>
      </c>
    </row>
    <row r="14" spans="1:18" x14ac:dyDescent="0.25">
      <c r="A14" s="57"/>
      <c r="B14" s="197" t="s">
        <v>176</v>
      </c>
      <c r="C14" s="20">
        <f>IF(Actuals!C$15&gt;0,Actuals!C14,Budget!C14)</f>
        <v>0</v>
      </c>
      <c r="D14" s="20">
        <f>IF(Actuals!D$15&gt;0,Actuals!D14,Budget!D14)</f>
        <v>0</v>
      </c>
      <c r="E14" s="20">
        <f>IF(Actuals!E$15&gt;0,Actuals!E14,Budget!E14)</f>
        <v>0</v>
      </c>
      <c r="F14" s="20">
        <f>IF(Actuals!F$15&gt;0,Actuals!F14,Budget!F14)</f>
        <v>0</v>
      </c>
      <c r="G14" s="20">
        <f>IF(Actuals!G$15&gt;0,Actuals!G14,Budget!G14)</f>
        <v>0</v>
      </c>
      <c r="H14" s="20">
        <f>IF(Actuals!H$15&gt;0,Actuals!H14,Budget!H14)</f>
        <v>0</v>
      </c>
      <c r="I14" s="20">
        <f>IF(Actuals!I$15&gt;0,Actuals!I14,Budget!I14)</f>
        <v>0</v>
      </c>
      <c r="J14" s="20">
        <f>IF(Actuals!J$15&gt;0,Actuals!J14,Budget!J14)</f>
        <v>0</v>
      </c>
      <c r="K14" s="20">
        <f>IF(Actuals!K$15&gt;0,Actuals!K14,Budget!K14)</f>
        <v>0</v>
      </c>
      <c r="L14" s="20">
        <f>IF(Actuals!L$15&gt;0,Actuals!L14,Budget!L14)</f>
        <v>0</v>
      </c>
      <c r="M14" s="20">
        <f>IF(Actuals!M$15&gt;0,Actuals!M14,Budget!M14)</f>
        <v>0</v>
      </c>
      <c r="N14" s="20">
        <f>IF(Actuals!N$15&gt;0,Actuals!N14,Budget!N14)</f>
        <v>0</v>
      </c>
      <c r="O14" s="20">
        <f>IF(Actuals!O$15&gt;0,Actuals!O14,Budget!O14)</f>
        <v>0</v>
      </c>
      <c r="P14" s="37">
        <f t="shared" ref="P14" si="1">SUM(C14:O14)</f>
        <v>0</v>
      </c>
    </row>
    <row r="15" spans="1:18" ht="15.75" thickBot="1" x14ac:dyDescent="0.3">
      <c r="A15" s="9"/>
      <c r="B15" s="15" t="s">
        <v>44</v>
      </c>
      <c r="C15" s="16">
        <f>SUM(C6:C14)</f>
        <v>3244.8100000000004</v>
      </c>
      <c r="D15" s="16">
        <f t="shared" ref="D15:P15" si="2">SUM(D6:D14)</f>
        <v>2103.0700000000002</v>
      </c>
      <c r="E15" s="16">
        <f t="shared" si="2"/>
        <v>2103.0700000000002</v>
      </c>
      <c r="F15" s="16">
        <f t="shared" si="2"/>
        <v>2103.0700000000002</v>
      </c>
      <c r="G15" s="16">
        <f t="shared" si="2"/>
        <v>2103.0700000000002</v>
      </c>
      <c r="H15" s="16">
        <f t="shared" si="2"/>
        <v>2103.0700000000002</v>
      </c>
      <c r="I15" s="16">
        <f t="shared" si="2"/>
        <v>2103.0700000000002</v>
      </c>
      <c r="J15" s="16">
        <f t="shared" si="2"/>
        <v>2103.0700000000002</v>
      </c>
      <c r="K15" s="16">
        <f t="shared" si="2"/>
        <v>2103.0700000000002</v>
      </c>
      <c r="L15" s="16">
        <f t="shared" si="2"/>
        <v>2103.0700000000002</v>
      </c>
      <c r="M15" s="16">
        <f t="shared" si="2"/>
        <v>2103.0700000000002</v>
      </c>
      <c r="N15" s="16">
        <f t="shared" si="2"/>
        <v>2103.0700000000002</v>
      </c>
      <c r="O15" s="16">
        <f t="shared" si="2"/>
        <v>2103.0700000000002</v>
      </c>
      <c r="P15" s="16">
        <f t="shared" si="2"/>
        <v>28481.649999999998</v>
      </c>
    </row>
    <row r="16" spans="1:18" ht="8.25" customHeight="1" thickTop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8" ht="18.75" x14ac:dyDescent="0.25">
      <c r="A17" s="12" t="s">
        <v>177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8" x14ac:dyDescent="0.25">
      <c r="A18" s="8"/>
      <c r="B18" s="7" t="str">
        <f>B6</f>
        <v>Shelter</v>
      </c>
      <c r="C18" s="20">
        <f>IF(Actuals!C$27&gt;0,Actuals!C18,Budget!C18)</f>
        <v>0</v>
      </c>
      <c r="D18" s="20">
        <f>IF(Actuals!D$27&gt;0,Actuals!D18,Budget!D18)</f>
        <v>0</v>
      </c>
      <c r="E18" s="20">
        <f>IF(Actuals!E$27&gt;0,Actuals!E18,Budget!E18)</f>
        <v>0</v>
      </c>
      <c r="F18" s="20">
        <f>IF(Actuals!F$27&gt;0,Actuals!F18,Budget!F18)</f>
        <v>0</v>
      </c>
      <c r="G18" s="20">
        <f>IF(Actuals!G$27&gt;0,Actuals!G18,Budget!G18)</f>
        <v>0</v>
      </c>
      <c r="H18" s="20">
        <f>IF(Actuals!H$27&gt;0,Actuals!H18,Budget!H18)</f>
        <v>0</v>
      </c>
      <c r="I18" s="20">
        <f>IF(Actuals!I$27&gt;0,Actuals!I18,Budget!I18)</f>
        <v>0</v>
      </c>
      <c r="J18" s="20">
        <f>IF(Actuals!J$27&gt;0,Actuals!J18,Budget!J18)</f>
        <v>0</v>
      </c>
      <c r="K18" s="20">
        <f>IF(Actuals!K$27&gt;0,Actuals!K18,Budget!K18)</f>
        <v>0</v>
      </c>
      <c r="L18" s="20">
        <f>IF(Actuals!L$27&gt;0,Actuals!L18,Budget!L18)</f>
        <v>0</v>
      </c>
      <c r="M18" s="20">
        <f>IF(Actuals!M$27&gt;0,Actuals!M18,Budget!M18)</f>
        <v>0</v>
      </c>
      <c r="N18" s="20">
        <f>IF(Actuals!N$27&gt;0,Actuals!N18,Budget!N18)</f>
        <v>0</v>
      </c>
      <c r="O18" s="20">
        <f>IF(Actuals!O$27&gt;0,Actuals!O18,Budget!O18)</f>
        <v>0</v>
      </c>
      <c r="P18" s="37">
        <f t="shared" ref="P18:P25" si="3">SUM(C18:O18)</f>
        <v>0</v>
      </c>
    </row>
    <row r="19" spans="1:18" x14ac:dyDescent="0.25">
      <c r="A19" s="8"/>
      <c r="B19" s="7" t="str">
        <f t="shared" ref="B19:B26" si="4">B7</f>
        <v>Utilities Installation</v>
      </c>
      <c r="C19" s="20">
        <f>IF(Actuals!C$27&gt;0,Actuals!C19,Budget!C19)</f>
        <v>0</v>
      </c>
      <c r="D19" s="20">
        <f>IF(Actuals!D$27&gt;0,Actuals!D19,Budget!D19)</f>
        <v>0</v>
      </c>
      <c r="E19" s="20">
        <f>IF(Actuals!E$27&gt;0,Actuals!E19,Budget!E19)</f>
        <v>0</v>
      </c>
      <c r="F19" s="20">
        <f>IF(Actuals!F$27&gt;0,Actuals!F19,Budget!F19)</f>
        <v>0</v>
      </c>
      <c r="G19" s="20">
        <f>IF(Actuals!G$27&gt;0,Actuals!G19,Budget!G19)</f>
        <v>0</v>
      </c>
      <c r="H19" s="20">
        <f>IF(Actuals!H$27&gt;0,Actuals!H19,Budget!H19)</f>
        <v>0</v>
      </c>
      <c r="I19" s="20">
        <f>IF(Actuals!I$27&gt;0,Actuals!I19,Budget!I19)</f>
        <v>0</v>
      </c>
      <c r="J19" s="20">
        <f>IF(Actuals!J$27&gt;0,Actuals!J19,Budget!J19)</f>
        <v>0</v>
      </c>
      <c r="K19" s="20">
        <f>IF(Actuals!K$27&gt;0,Actuals!K19,Budget!K19)</f>
        <v>0</v>
      </c>
      <c r="L19" s="20">
        <f>IF(Actuals!L$27&gt;0,Actuals!L19,Budget!L19)</f>
        <v>0</v>
      </c>
      <c r="M19" s="20">
        <f>IF(Actuals!M$27&gt;0,Actuals!M19,Budget!M19)</f>
        <v>0</v>
      </c>
      <c r="N19" s="20">
        <f>IF(Actuals!N$27&gt;0,Actuals!N19,Budget!N19)</f>
        <v>0</v>
      </c>
      <c r="O19" s="20">
        <f>IF(Actuals!O$27&gt;0,Actuals!O19,Budget!O19)</f>
        <v>0</v>
      </c>
      <c r="P19" s="37">
        <f t="shared" si="3"/>
        <v>0</v>
      </c>
    </row>
    <row r="20" spans="1:18" x14ac:dyDescent="0.25">
      <c r="A20" s="8"/>
      <c r="B20" s="7" t="str">
        <f t="shared" si="4"/>
        <v>Furniture</v>
      </c>
      <c r="C20" s="20">
        <f>IF(Actuals!C$27&gt;0,Actuals!C20,Budget!C20)</f>
        <v>0</v>
      </c>
      <c r="D20" s="20">
        <f>IF(Actuals!D$27&gt;0,Actuals!D20,Budget!D20)</f>
        <v>0</v>
      </c>
      <c r="E20" s="20">
        <f>IF(Actuals!E$27&gt;0,Actuals!E20,Budget!E20)</f>
        <v>0</v>
      </c>
      <c r="F20" s="20">
        <f>IF(Actuals!F$27&gt;0,Actuals!F20,Budget!F20)</f>
        <v>0</v>
      </c>
      <c r="G20" s="20">
        <f>IF(Actuals!G$27&gt;0,Actuals!G20,Budget!G20)</f>
        <v>0</v>
      </c>
      <c r="H20" s="20">
        <f>IF(Actuals!H$27&gt;0,Actuals!H20,Budget!H20)</f>
        <v>0</v>
      </c>
      <c r="I20" s="20">
        <f>IF(Actuals!I$27&gt;0,Actuals!I20,Budget!I20)</f>
        <v>0</v>
      </c>
      <c r="J20" s="20">
        <f>IF(Actuals!J$27&gt;0,Actuals!J20,Budget!J20)</f>
        <v>0</v>
      </c>
      <c r="K20" s="20">
        <f>IF(Actuals!K$27&gt;0,Actuals!K20,Budget!K20)</f>
        <v>0</v>
      </c>
      <c r="L20" s="20">
        <f>IF(Actuals!L$27&gt;0,Actuals!L20,Budget!L20)</f>
        <v>0</v>
      </c>
      <c r="M20" s="20">
        <f>IF(Actuals!M$27&gt;0,Actuals!M20,Budget!M20)</f>
        <v>0</v>
      </c>
      <c r="N20" s="20">
        <f>IF(Actuals!N$27&gt;0,Actuals!N20,Budget!N20)</f>
        <v>0</v>
      </c>
      <c r="O20" s="20">
        <f>IF(Actuals!O$27&gt;0,Actuals!O20,Budget!O20)</f>
        <v>0</v>
      </c>
      <c r="P20" s="37">
        <f t="shared" si="3"/>
        <v>0</v>
      </c>
    </row>
    <row r="21" spans="1:18" x14ac:dyDescent="0.25">
      <c r="A21" s="8"/>
      <c r="B21" s="7" t="str">
        <f t="shared" si="4"/>
        <v>Food (Included as part of Basic Needs)</v>
      </c>
      <c r="C21" s="20">
        <f>IF(Actuals!C$27&gt;0,Actuals!C21,Budget!C21)</f>
        <v>0</v>
      </c>
      <c r="D21" s="20">
        <f>IF(Actuals!D$27&gt;0,Actuals!D21,Budget!D21)</f>
        <v>0</v>
      </c>
      <c r="E21" s="20">
        <f>IF(Actuals!E$27&gt;0,Actuals!E21,Budget!E21)</f>
        <v>0</v>
      </c>
      <c r="F21" s="20">
        <f>IF(Actuals!F$27&gt;0,Actuals!F21,Budget!F21)</f>
        <v>0</v>
      </c>
      <c r="G21" s="20">
        <f>IF(Actuals!G$27&gt;0,Actuals!G21,Budget!G21)</f>
        <v>0</v>
      </c>
      <c r="H21" s="20">
        <f>IF(Actuals!H$27&gt;0,Actuals!H21,Budget!H21)</f>
        <v>0</v>
      </c>
      <c r="I21" s="20">
        <f>IF(Actuals!I$27&gt;0,Actuals!I21,Budget!I21)</f>
        <v>0</v>
      </c>
      <c r="J21" s="20">
        <f>IF(Actuals!J$27&gt;0,Actuals!J21,Budget!J21)</f>
        <v>0</v>
      </c>
      <c r="K21" s="20">
        <f>IF(Actuals!K$27&gt;0,Actuals!K21,Budget!K21)</f>
        <v>0</v>
      </c>
      <c r="L21" s="20">
        <f>IF(Actuals!L$27&gt;0,Actuals!L21,Budget!L21)</f>
        <v>0</v>
      </c>
      <c r="M21" s="20">
        <f>IF(Actuals!M$27&gt;0,Actuals!M21,Budget!M21)</f>
        <v>0</v>
      </c>
      <c r="N21" s="20">
        <f>IF(Actuals!N$27&gt;0,Actuals!N21,Budget!N21)</f>
        <v>0</v>
      </c>
      <c r="O21" s="20">
        <f>IF(Actuals!O$27&gt;0,Actuals!O21,Budget!O21)</f>
        <v>0</v>
      </c>
      <c r="P21" s="37">
        <f t="shared" si="3"/>
        <v>0</v>
      </c>
    </row>
    <row r="22" spans="1:18" x14ac:dyDescent="0.25">
      <c r="A22" s="8"/>
      <c r="B22" s="7" t="str">
        <f t="shared" si="4"/>
        <v>Clothing</v>
      </c>
      <c r="C22" s="20">
        <f>IF(Actuals!C$27&gt;0,Actuals!C22,Budget!C22)</f>
        <v>0</v>
      </c>
      <c r="D22" s="20">
        <f>IF(Actuals!D$27&gt;0,Actuals!D22,Budget!D22)</f>
        <v>0</v>
      </c>
      <c r="E22" s="20">
        <f>IF(Actuals!E$27&gt;0,Actuals!E22,Budget!E22)</f>
        <v>0</v>
      </c>
      <c r="F22" s="20">
        <f>IF(Actuals!F$27&gt;0,Actuals!F22,Budget!F22)</f>
        <v>0</v>
      </c>
      <c r="G22" s="20">
        <f>IF(Actuals!G$27&gt;0,Actuals!G22,Budget!G22)</f>
        <v>0</v>
      </c>
      <c r="H22" s="20">
        <f>IF(Actuals!H$27&gt;0,Actuals!H22,Budget!H22)</f>
        <v>0</v>
      </c>
      <c r="I22" s="20">
        <f>IF(Actuals!I$27&gt;0,Actuals!I22,Budget!I22)</f>
        <v>0</v>
      </c>
      <c r="J22" s="20">
        <f>IF(Actuals!J$27&gt;0,Actuals!J22,Budget!J22)</f>
        <v>0</v>
      </c>
      <c r="K22" s="20">
        <f>IF(Actuals!K$27&gt;0,Actuals!K22,Budget!K22)</f>
        <v>0</v>
      </c>
      <c r="L22" s="20">
        <f>IF(Actuals!L$27&gt;0,Actuals!L22,Budget!L22)</f>
        <v>0</v>
      </c>
      <c r="M22" s="20">
        <f>IF(Actuals!M$27&gt;0,Actuals!M22,Budget!M22)</f>
        <v>0</v>
      </c>
      <c r="N22" s="20">
        <f>IF(Actuals!N$27&gt;0,Actuals!N22,Budget!N22)</f>
        <v>0</v>
      </c>
      <c r="O22" s="20">
        <f>IF(Actuals!O$27&gt;0,Actuals!O22,Budget!O22)</f>
        <v>0</v>
      </c>
      <c r="P22" s="37">
        <f t="shared" si="3"/>
        <v>0</v>
      </c>
      <c r="R22" s="47"/>
    </row>
    <row r="23" spans="1:18" x14ac:dyDescent="0.25">
      <c r="A23" s="57"/>
      <c r="B23" s="7" t="str">
        <f t="shared" si="4"/>
        <v>Transportation</v>
      </c>
      <c r="C23" s="20">
        <f>IF(Actuals!C$27&gt;0,Actuals!C23,Budget!C23)</f>
        <v>0</v>
      </c>
      <c r="D23" s="20">
        <f>IF(Actuals!D$27&gt;0,Actuals!D23,Budget!D23)</f>
        <v>0</v>
      </c>
      <c r="E23" s="20">
        <f>IF(Actuals!E$27&gt;0,Actuals!E23,Budget!E23)</f>
        <v>0</v>
      </c>
      <c r="F23" s="20">
        <f>IF(Actuals!F$27&gt;0,Actuals!F23,Budget!F23)</f>
        <v>0</v>
      </c>
      <c r="G23" s="20">
        <f>IF(Actuals!G$27&gt;0,Actuals!G23,Budget!G23)</f>
        <v>0</v>
      </c>
      <c r="H23" s="20">
        <f>IF(Actuals!H$27&gt;0,Actuals!H23,Budget!H23)</f>
        <v>0</v>
      </c>
      <c r="I23" s="20">
        <f>IF(Actuals!I$27&gt;0,Actuals!I23,Budget!I23)</f>
        <v>0</v>
      </c>
      <c r="J23" s="20">
        <f>IF(Actuals!J$27&gt;0,Actuals!J23,Budget!J23)</f>
        <v>0</v>
      </c>
      <c r="K23" s="20">
        <f>IF(Actuals!K$27&gt;0,Actuals!K23,Budget!K23)</f>
        <v>0</v>
      </c>
      <c r="L23" s="20">
        <f>IF(Actuals!L$27&gt;0,Actuals!L23,Budget!L23)</f>
        <v>0</v>
      </c>
      <c r="M23" s="20">
        <f>IF(Actuals!M$27&gt;0,Actuals!M23,Budget!M23)</f>
        <v>0</v>
      </c>
      <c r="N23" s="20">
        <f>IF(Actuals!N$27&gt;0,Actuals!N23,Budget!N23)</f>
        <v>0</v>
      </c>
      <c r="O23" s="20">
        <f>IF(Actuals!O$27&gt;0,Actuals!O23,Budget!O23)</f>
        <v>0</v>
      </c>
      <c r="P23" s="37">
        <f t="shared" si="3"/>
        <v>0</v>
      </c>
      <c r="R23" s="47"/>
    </row>
    <row r="24" spans="1:18" x14ac:dyDescent="0.25">
      <c r="A24" s="57"/>
      <c r="B24" s="7" t="str">
        <f t="shared" si="4"/>
        <v>Communication</v>
      </c>
      <c r="C24" s="20">
        <f>IF(Actuals!C$27&gt;0,Actuals!C24,Budget!C24)</f>
        <v>0</v>
      </c>
      <c r="D24" s="20">
        <f>IF(Actuals!D$27&gt;0,Actuals!D24,Budget!D24)</f>
        <v>0</v>
      </c>
      <c r="E24" s="20">
        <f>IF(Actuals!E$27&gt;0,Actuals!E24,Budget!E24)</f>
        <v>0</v>
      </c>
      <c r="F24" s="20">
        <f>IF(Actuals!F$27&gt;0,Actuals!F24,Budget!F24)</f>
        <v>0</v>
      </c>
      <c r="G24" s="20">
        <f>IF(Actuals!G$27&gt;0,Actuals!G24,Budget!G24)</f>
        <v>0</v>
      </c>
      <c r="H24" s="20">
        <f>IF(Actuals!H$27&gt;0,Actuals!H24,Budget!H24)</f>
        <v>0</v>
      </c>
      <c r="I24" s="20">
        <f>IF(Actuals!I$27&gt;0,Actuals!I24,Budget!I24)</f>
        <v>0</v>
      </c>
      <c r="J24" s="20">
        <f>IF(Actuals!J$27&gt;0,Actuals!J24,Budget!J24)</f>
        <v>0</v>
      </c>
      <c r="K24" s="20">
        <f>IF(Actuals!K$27&gt;0,Actuals!K24,Budget!K24)</f>
        <v>0</v>
      </c>
      <c r="L24" s="20">
        <f>IF(Actuals!L$27&gt;0,Actuals!L24,Budget!L24)</f>
        <v>0</v>
      </c>
      <c r="M24" s="20">
        <f>IF(Actuals!M$27&gt;0,Actuals!M24,Budget!M24)</f>
        <v>0</v>
      </c>
      <c r="N24" s="20">
        <f>IF(Actuals!N$27&gt;0,Actuals!N24,Budget!N24)</f>
        <v>0</v>
      </c>
      <c r="O24" s="20">
        <f>IF(Actuals!O$27&gt;0,Actuals!O24,Budget!O24)</f>
        <v>0</v>
      </c>
      <c r="P24" s="37">
        <f t="shared" si="3"/>
        <v>0</v>
      </c>
      <c r="R24" s="47"/>
    </row>
    <row r="25" spans="1:18" x14ac:dyDescent="0.25">
      <c r="A25" s="57"/>
      <c r="B25" s="7" t="str">
        <f t="shared" si="4"/>
        <v>Incidentals  (Included as part of Basic Needs)</v>
      </c>
      <c r="C25" s="20">
        <f>IF(Actuals!C$27&gt;0,Actuals!C25,Budget!C25)</f>
        <v>0</v>
      </c>
      <c r="D25" s="20">
        <f>IF(Actuals!D$27&gt;0,Actuals!D25,Budget!D25)</f>
        <v>0</v>
      </c>
      <c r="E25" s="20">
        <f>IF(Actuals!E$27&gt;0,Actuals!E25,Budget!E25)</f>
        <v>0</v>
      </c>
      <c r="F25" s="20">
        <f>IF(Actuals!F$27&gt;0,Actuals!F25,Budget!F25)</f>
        <v>0</v>
      </c>
      <c r="G25" s="20">
        <f>IF(Actuals!G$27&gt;0,Actuals!G25,Budget!G25)</f>
        <v>0</v>
      </c>
      <c r="H25" s="20">
        <f>IF(Actuals!H$27&gt;0,Actuals!H25,Budget!H25)</f>
        <v>0</v>
      </c>
      <c r="I25" s="20">
        <f>IF(Actuals!I$27&gt;0,Actuals!I25,Budget!I25)</f>
        <v>0</v>
      </c>
      <c r="J25" s="20">
        <f>IF(Actuals!J$27&gt;0,Actuals!J25,Budget!J25)</f>
        <v>0</v>
      </c>
      <c r="K25" s="20">
        <f>IF(Actuals!K$27&gt;0,Actuals!K25,Budget!K25)</f>
        <v>0</v>
      </c>
      <c r="L25" s="20">
        <f>IF(Actuals!L$27&gt;0,Actuals!L25,Budget!L25)</f>
        <v>0</v>
      </c>
      <c r="M25" s="20">
        <f>IF(Actuals!M$27&gt;0,Actuals!M25,Budget!M25)</f>
        <v>0</v>
      </c>
      <c r="N25" s="20">
        <f>IF(Actuals!N$27&gt;0,Actuals!N25,Budget!N25)</f>
        <v>0</v>
      </c>
      <c r="O25" s="20">
        <f>IF(Actuals!O$27&gt;0,Actuals!O25,Budget!O25)</f>
        <v>0</v>
      </c>
      <c r="P25" s="37">
        <f t="shared" si="3"/>
        <v>0</v>
      </c>
      <c r="R25" s="47"/>
    </row>
    <row r="26" spans="1:18" x14ac:dyDescent="0.25">
      <c r="A26" s="57"/>
      <c r="B26" s="7" t="str">
        <f t="shared" si="4"/>
        <v>Medical Expenses (not covered by OHIP or IFHP)</v>
      </c>
      <c r="C26" s="20">
        <f>IF(Actuals!C$27&gt;0,Actuals!C26,Budget!C26)</f>
        <v>0</v>
      </c>
      <c r="D26" s="20">
        <f>IF(Actuals!D$27&gt;0,Actuals!D26,Budget!D26)</f>
        <v>0</v>
      </c>
      <c r="E26" s="20">
        <f>IF(Actuals!E$27&gt;0,Actuals!E26,Budget!E26)</f>
        <v>0</v>
      </c>
      <c r="F26" s="20">
        <f>IF(Actuals!F$27&gt;0,Actuals!F26,Budget!F26)</f>
        <v>0</v>
      </c>
      <c r="G26" s="20">
        <f>IF(Actuals!G$27&gt;0,Actuals!G26,Budget!G26)</f>
        <v>0</v>
      </c>
      <c r="H26" s="20">
        <f>IF(Actuals!H$27&gt;0,Actuals!H26,Budget!H26)</f>
        <v>0</v>
      </c>
      <c r="I26" s="20">
        <f>IF(Actuals!I$27&gt;0,Actuals!I26,Budget!I26)</f>
        <v>0</v>
      </c>
      <c r="J26" s="20">
        <f>IF(Actuals!J$27&gt;0,Actuals!J26,Budget!J26)</f>
        <v>0</v>
      </c>
      <c r="K26" s="20">
        <f>IF(Actuals!K$27&gt;0,Actuals!K26,Budget!K26)</f>
        <v>0</v>
      </c>
      <c r="L26" s="20">
        <f>IF(Actuals!L$27&gt;0,Actuals!L26,Budget!L26)</f>
        <v>0</v>
      </c>
      <c r="M26" s="20">
        <f>IF(Actuals!M$27&gt;0,Actuals!M26,Budget!M26)</f>
        <v>0</v>
      </c>
      <c r="N26" s="20">
        <f>IF(Actuals!N$27&gt;0,Actuals!N26,Budget!N26)</f>
        <v>0</v>
      </c>
      <c r="O26" s="20">
        <f>IF(Actuals!O$27&gt;0,Actuals!O26,Budget!O26)</f>
        <v>0</v>
      </c>
      <c r="P26" s="37">
        <f t="shared" ref="P26" si="5">SUM(C26:O26)</f>
        <v>0</v>
      </c>
      <c r="R26" s="47"/>
    </row>
    <row r="27" spans="1:18" ht="15.75" thickBot="1" x14ac:dyDescent="0.3">
      <c r="A27" s="9"/>
      <c r="B27" s="15" t="s">
        <v>44</v>
      </c>
      <c r="C27" s="19">
        <f>SUM(C18:C26)</f>
        <v>0</v>
      </c>
      <c r="D27" s="19">
        <f t="shared" ref="D27:P27" si="6">SUM(D18:D26)</f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0</v>
      </c>
      <c r="K27" s="19">
        <f t="shared" si="6"/>
        <v>0</v>
      </c>
      <c r="L27" s="19">
        <f t="shared" si="6"/>
        <v>0</v>
      </c>
      <c r="M27" s="19">
        <f t="shared" si="6"/>
        <v>0</v>
      </c>
      <c r="N27" s="19">
        <f t="shared" si="6"/>
        <v>0</v>
      </c>
      <c r="O27" s="19">
        <f t="shared" si="6"/>
        <v>0</v>
      </c>
      <c r="P27" s="19">
        <f t="shared" si="6"/>
        <v>0</v>
      </c>
      <c r="R27" s="47"/>
    </row>
    <row r="28" spans="1:18" ht="15.75" thickTop="1" x14ac:dyDescent="0.25">
      <c r="R28" s="34"/>
    </row>
    <row r="29" spans="1:18" ht="18.75" x14ac:dyDescent="0.25">
      <c r="A29" s="12" t="s">
        <v>180</v>
      </c>
      <c r="B29" s="2"/>
    </row>
    <row r="30" spans="1:18" x14ac:dyDescent="0.25">
      <c r="A30" s="8"/>
      <c r="B30" s="7" t="str">
        <f>B6</f>
        <v>Shelter</v>
      </c>
      <c r="C30" s="20">
        <f>IF(Actuals!C$39&gt;0,Actuals!C30,Budget!C30)</f>
        <v>0</v>
      </c>
      <c r="D30" s="20">
        <f>IF(Actuals!D$39&gt;0,Actuals!D30,Budget!D30)</f>
        <v>1082</v>
      </c>
      <c r="E30" s="20">
        <f>IF(Actuals!E$39&gt;0,Actuals!E30,Budget!E30)</f>
        <v>1082</v>
      </c>
      <c r="F30" s="20">
        <f>IF(Actuals!F$39&gt;0,Actuals!F30,Budget!F30)</f>
        <v>1082</v>
      </c>
      <c r="G30" s="20">
        <f>IF(Actuals!G$39&gt;0,Actuals!G30,Budget!G30)</f>
        <v>1082</v>
      </c>
      <c r="H30" s="20">
        <f>IF(Actuals!H$39&gt;0,Actuals!H30,Budget!H30)</f>
        <v>1082</v>
      </c>
      <c r="I30" s="20">
        <f>IF(Actuals!I$39&gt;0,Actuals!I30,Budget!I30)</f>
        <v>1082</v>
      </c>
      <c r="J30" s="20">
        <f>IF(Actuals!J$39&gt;0,Actuals!J30,Budget!J30)</f>
        <v>1082</v>
      </c>
      <c r="K30" s="20">
        <f>IF(Actuals!K$39&gt;0,Actuals!K30,Budget!K30)</f>
        <v>1082</v>
      </c>
      <c r="L30" s="20">
        <f>IF(Actuals!L$39&gt;0,Actuals!L30,Budget!L30)</f>
        <v>1082</v>
      </c>
      <c r="M30" s="20">
        <f>IF(Actuals!M$39&gt;0,Actuals!M30,Budget!M30)</f>
        <v>1082</v>
      </c>
      <c r="N30" s="20">
        <f>IF(Actuals!N$39&gt;0,Actuals!N30,Budget!N30)</f>
        <v>1082</v>
      </c>
      <c r="O30" s="20">
        <f>IF(Actuals!O$39&gt;0,Actuals!O30,Budget!O30)</f>
        <v>1082</v>
      </c>
      <c r="P30" s="37">
        <f t="shared" ref="P30:P37" si="7">SUM(C30:O30)</f>
        <v>12984</v>
      </c>
    </row>
    <row r="31" spans="1:18" x14ac:dyDescent="0.25">
      <c r="A31" s="8"/>
      <c r="B31" s="7" t="str">
        <f t="shared" ref="B31:B38" si="8">B7</f>
        <v>Utilities Installation</v>
      </c>
      <c r="C31" s="20">
        <f>IF(Actuals!C$39&gt;0,Actuals!C31,Budget!C31)</f>
        <v>84.56</v>
      </c>
      <c r="D31" s="20">
        <f>IF(Actuals!D$39&gt;0,Actuals!D31,Budget!D31)</f>
        <v>0</v>
      </c>
      <c r="E31" s="20">
        <f>IF(Actuals!E$39&gt;0,Actuals!E31,Budget!E31)</f>
        <v>0</v>
      </c>
      <c r="F31" s="20">
        <f>IF(Actuals!F$39&gt;0,Actuals!F31,Budget!F31)</f>
        <v>0</v>
      </c>
      <c r="G31" s="20">
        <f>IF(Actuals!G$39&gt;0,Actuals!G31,Budget!G31)</f>
        <v>0</v>
      </c>
      <c r="H31" s="20">
        <f>IF(Actuals!H$39&gt;0,Actuals!H31,Budget!H31)</f>
        <v>0</v>
      </c>
      <c r="I31" s="20">
        <f>IF(Actuals!I$39&gt;0,Actuals!I31,Budget!I31)</f>
        <v>0</v>
      </c>
      <c r="J31" s="20">
        <f>IF(Actuals!J$39&gt;0,Actuals!J31,Budget!J31)</f>
        <v>0</v>
      </c>
      <c r="K31" s="20">
        <f>IF(Actuals!K$39&gt;0,Actuals!K31,Budget!K31)</f>
        <v>0</v>
      </c>
      <c r="L31" s="20">
        <f>IF(Actuals!L$39&gt;0,Actuals!L31,Budget!L31)</f>
        <v>0</v>
      </c>
      <c r="M31" s="20">
        <f>IF(Actuals!M$39&gt;0,Actuals!M31,Budget!M31)</f>
        <v>0</v>
      </c>
      <c r="N31" s="20">
        <f>IF(Actuals!N$39&gt;0,Actuals!N31,Budget!N31)</f>
        <v>0</v>
      </c>
      <c r="O31" s="20">
        <f>IF(Actuals!O$39&gt;0,Actuals!O31,Budget!O31)</f>
        <v>0</v>
      </c>
      <c r="P31" s="37">
        <f t="shared" si="7"/>
        <v>84.56</v>
      </c>
    </row>
    <row r="32" spans="1:18" x14ac:dyDescent="0.25">
      <c r="A32" s="8"/>
      <c r="B32" s="7" t="str">
        <f t="shared" si="8"/>
        <v>Furniture</v>
      </c>
      <c r="C32" s="20">
        <f>IF(Actuals!C$39&gt;0,Actuals!C32,Budget!C32)</f>
        <v>1634.15</v>
      </c>
      <c r="D32" s="20">
        <f>IF(Actuals!D$39&gt;0,Actuals!D32,Budget!D32)</f>
        <v>0</v>
      </c>
      <c r="E32" s="20">
        <f>IF(Actuals!E$39&gt;0,Actuals!E32,Budget!E32)</f>
        <v>0</v>
      </c>
      <c r="F32" s="20">
        <f>IF(Actuals!F$39&gt;0,Actuals!F32,Budget!F32)</f>
        <v>0</v>
      </c>
      <c r="G32" s="20">
        <f>IF(Actuals!G$39&gt;0,Actuals!G32,Budget!G32)</f>
        <v>0</v>
      </c>
      <c r="H32" s="20">
        <f>IF(Actuals!H$39&gt;0,Actuals!H32,Budget!H32)</f>
        <v>0</v>
      </c>
      <c r="I32" s="20">
        <f>IF(Actuals!I$39&gt;0,Actuals!I32,Budget!I32)</f>
        <v>0</v>
      </c>
      <c r="J32" s="20">
        <f>IF(Actuals!J$39&gt;0,Actuals!J32,Budget!J32)</f>
        <v>0</v>
      </c>
      <c r="K32" s="20">
        <f>IF(Actuals!K$39&gt;0,Actuals!K32,Budget!K32)</f>
        <v>0</v>
      </c>
      <c r="L32" s="20">
        <f>IF(Actuals!L$39&gt;0,Actuals!L32,Budget!L32)</f>
        <v>0</v>
      </c>
      <c r="M32" s="20">
        <f>IF(Actuals!M$39&gt;0,Actuals!M32,Budget!M32)</f>
        <v>0</v>
      </c>
      <c r="N32" s="20">
        <f>IF(Actuals!N$39&gt;0,Actuals!N32,Budget!N32)</f>
        <v>0</v>
      </c>
      <c r="O32" s="20">
        <f>IF(Actuals!O$39&gt;0,Actuals!O32,Budget!O32)</f>
        <v>0</v>
      </c>
      <c r="P32" s="37">
        <f t="shared" si="7"/>
        <v>1634.15</v>
      </c>
    </row>
    <row r="33" spans="1:16" x14ac:dyDescent="0.25">
      <c r="A33" s="8"/>
      <c r="B33" s="7" t="str">
        <f t="shared" si="8"/>
        <v>Food (Included as part of Basic Needs)</v>
      </c>
      <c r="C33" s="20">
        <f>IF(Actuals!C$39&gt;0,Actuals!C33,Budget!C33)</f>
        <v>245.74</v>
      </c>
      <c r="D33" s="20">
        <f>IF(Actuals!D$39&gt;0,Actuals!D33,Budget!D33)</f>
        <v>786</v>
      </c>
      <c r="E33" s="20">
        <f>IF(Actuals!E$39&gt;0,Actuals!E33,Budget!E33)</f>
        <v>786</v>
      </c>
      <c r="F33" s="20">
        <f>IF(Actuals!F$39&gt;0,Actuals!F33,Budget!F33)</f>
        <v>786</v>
      </c>
      <c r="G33" s="20">
        <f>IF(Actuals!G$39&gt;0,Actuals!G33,Budget!G33)</f>
        <v>786</v>
      </c>
      <c r="H33" s="20">
        <f>IF(Actuals!H$39&gt;0,Actuals!H33,Budget!H33)</f>
        <v>786</v>
      </c>
      <c r="I33" s="20">
        <f>IF(Actuals!I$39&gt;0,Actuals!I33,Budget!I33)</f>
        <v>786</v>
      </c>
      <c r="J33" s="20">
        <f>IF(Actuals!J$39&gt;0,Actuals!J33,Budget!J33)</f>
        <v>786</v>
      </c>
      <c r="K33" s="20">
        <f>IF(Actuals!K$39&gt;0,Actuals!K33,Budget!K33)</f>
        <v>786</v>
      </c>
      <c r="L33" s="20">
        <f>IF(Actuals!L$39&gt;0,Actuals!L33,Budget!L33)</f>
        <v>786</v>
      </c>
      <c r="M33" s="20">
        <f>IF(Actuals!M$39&gt;0,Actuals!M33,Budget!M33)</f>
        <v>786</v>
      </c>
      <c r="N33" s="20">
        <f>IF(Actuals!N$39&gt;0,Actuals!N33,Budget!N33)</f>
        <v>786</v>
      </c>
      <c r="O33" s="20">
        <f>IF(Actuals!O$39&gt;0,Actuals!O33,Budget!O33)</f>
        <v>786</v>
      </c>
      <c r="P33" s="37">
        <f t="shared" si="7"/>
        <v>9677.74</v>
      </c>
    </row>
    <row r="34" spans="1:16" x14ac:dyDescent="0.25">
      <c r="A34" s="8"/>
      <c r="B34" s="7" t="str">
        <f t="shared" si="8"/>
        <v>Clothing</v>
      </c>
      <c r="C34" s="20">
        <f>IF(Actuals!C$39&gt;0,Actuals!C34,Budget!C34)</f>
        <v>563.45000000000005</v>
      </c>
      <c r="D34" s="20">
        <f>IF(Actuals!D$39&gt;0,Actuals!D34,Budget!D34)</f>
        <v>0</v>
      </c>
      <c r="E34" s="20">
        <f>IF(Actuals!E$39&gt;0,Actuals!E34,Budget!E34)</f>
        <v>0</v>
      </c>
      <c r="F34" s="20">
        <f>IF(Actuals!F$39&gt;0,Actuals!F34,Budget!F34)</f>
        <v>0</v>
      </c>
      <c r="G34" s="20">
        <f>IF(Actuals!G$39&gt;0,Actuals!G34,Budget!G34)</f>
        <v>0</v>
      </c>
      <c r="H34" s="20">
        <f>IF(Actuals!H$39&gt;0,Actuals!H34,Budget!H34)</f>
        <v>0</v>
      </c>
      <c r="I34" s="20">
        <f>IF(Actuals!I$39&gt;0,Actuals!I34,Budget!I34)</f>
        <v>0</v>
      </c>
      <c r="J34" s="20">
        <f>IF(Actuals!J$39&gt;0,Actuals!J34,Budget!J34)</f>
        <v>0</v>
      </c>
      <c r="K34" s="20">
        <f>IF(Actuals!K$39&gt;0,Actuals!K34,Budget!K34)</f>
        <v>0</v>
      </c>
      <c r="L34" s="20">
        <f>IF(Actuals!L$39&gt;0,Actuals!L34,Budget!L34)</f>
        <v>0</v>
      </c>
      <c r="M34" s="20">
        <f>IF(Actuals!M$39&gt;0,Actuals!M34,Budget!M34)</f>
        <v>0</v>
      </c>
      <c r="N34" s="20">
        <f>IF(Actuals!N$39&gt;0,Actuals!N34,Budget!N34)</f>
        <v>0</v>
      </c>
      <c r="O34" s="20">
        <f>IF(Actuals!O$39&gt;0,Actuals!O34,Budget!O34)</f>
        <v>0</v>
      </c>
      <c r="P34" s="37">
        <f t="shared" si="7"/>
        <v>563.45000000000005</v>
      </c>
    </row>
    <row r="35" spans="1:16" x14ac:dyDescent="0.25">
      <c r="A35" s="8"/>
      <c r="B35" s="7" t="str">
        <f t="shared" si="8"/>
        <v>Transportation</v>
      </c>
      <c r="C35" s="20">
        <f>IF(Actuals!C$39&gt;0,Actuals!C35,Budget!C35)</f>
        <v>0</v>
      </c>
      <c r="D35" s="20">
        <f>IF(Actuals!D$39&gt;0,Actuals!D35,Budget!D35)</f>
        <v>156</v>
      </c>
      <c r="E35" s="20">
        <f>IF(Actuals!E$39&gt;0,Actuals!E35,Budget!E35)</f>
        <v>156</v>
      </c>
      <c r="F35" s="20">
        <f>IF(Actuals!F$39&gt;0,Actuals!F35,Budget!F35)</f>
        <v>156</v>
      </c>
      <c r="G35" s="20">
        <f>IF(Actuals!G$39&gt;0,Actuals!G35,Budget!G35)</f>
        <v>156</v>
      </c>
      <c r="H35" s="20">
        <f>IF(Actuals!H$39&gt;0,Actuals!H35,Budget!H35)</f>
        <v>156</v>
      </c>
      <c r="I35" s="20">
        <f>IF(Actuals!I$39&gt;0,Actuals!I35,Budget!I35)</f>
        <v>156</v>
      </c>
      <c r="J35" s="20">
        <f>IF(Actuals!J$39&gt;0,Actuals!J35,Budget!J35)</f>
        <v>156</v>
      </c>
      <c r="K35" s="20">
        <f>IF(Actuals!K$39&gt;0,Actuals!K35,Budget!K35)</f>
        <v>156</v>
      </c>
      <c r="L35" s="20">
        <f>IF(Actuals!L$39&gt;0,Actuals!L35,Budget!L35)</f>
        <v>156</v>
      </c>
      <c r="M35" s="20">
        <f>IF(Actuals!M$39&gt;0,Actuals!M35,Budget!M35)</f>
        <v>156</v>
      </c>
      <c r="N35" s="20">
        <f>IF(Actuals!N$39&gt;0,Actuals!N35,Budget!N35)</f>
        <v>156</v>
      </c>
      <c r="O35" s="20">
        <f>IF(Actuals!O$39&gt;0,Actuals!O35,Budget!O35)</f>
        <v>156</v>
      </c>
      <c r="P35" s="37">
        <f t="shared" si="7"/>
        <v>1872</v>
      </c>
    </row>
    <row r="36" spans="1:16" x14ac:dyDescent="0.25">
      <c r="A36" s="8"/>
      <c r="B36" s="7" t="str">
        <f t="shared" si="8"/>
        <v>Communication</v>
      </c>
      <c r="C36" s="20">
        <f>IF(Actuals!C$39&gt;0,Actuals!C36,Budget!C36)</f>
        <v>0</v>
      </c>
      <c r="D36" s="20">
        <f>IF(Actuals!D$39&gt;0,Actuals!D36,Budget!D36)</f>
        <v>79.069999999999993</v>
      </c>
      <c r="E36" s="20">
        <f>IF(Actuals!E$39&gt;0,Actuals!E36,Budget!E36)</f>
        <v>79.069999999999993</v>
      </c>
      <c r="F36" s="20">
        <f>IF(Actuals!F$39&gt;0,Actuals!F36,Budget!F36)</f>
        <v>79.069999999999993</v>
      </c>
      <c r="G36" s="20">
        <f>IF(Actuals!G$39&gt;0,Actuals!G36,Budget!G36)</f>
        <v>79.069999999999993</v>
      </c>
      <c r="H36" s="20">
        <f>IF(Actuals!H$39&gt;0,Actuals!H36,Budget!H36)</f>
        <v>79.069999999999993</v>
      </c>
      <c r="I36" s="20">
        <f>IF(Actuals!I$39&gt;0,Actuals!I36,Budget!I36)</f>
        <v>79.069999999999993</v>
      </c>
      <c r="J36" s="20">
        <f>IF(Actuals!J$39&gt;0,Actuals!J36,Budget!J36)</f>
        <v>79.069999999999993</v>
      </c>
      <c r="K36" s="20">
        <f>IF(Actuals!K$39&gt;0,Actuals!K36,Budget!K36)</f>
        <v>79.069999999999993</v>
      </c>
      <c r="L36" s="20">
        <f>IF(Actuals!L$39&gt;0,Actuals!L36,Budget!L36)</f>
        <v>79.069999999999993</v>
      </c>
      <c r="M36" s="20">
        <f>IF(Actuals!M$39&gt;0,Actuals!M36,Budget!M36)</f>
        <v>79.069999999999993</v>
      </c>
      <c r="N36" s="20">
        <f>IF(Actuals!N$39&gt;0,Actuals!N36,Budget!N36)</f>
        <v>79.069999999999993</v>
      </c>
      <c r="O36" s="20">
        <f>IF(Actuals!O$39&gt;0,Actuals!O36,Budget!O36)</f>
        <v>79.069999999999993</v>
      </c>
      <c r="P36" s="37">
        <f t="shared" si="7"/>
        <v>948.83999999999969</v>
      </c>
    </row>
    <row r="37" spans="1:16" x14ac:dyDescent="0.25">
      <c r="A37" s="8"/>
      <c r="B37" s="7" t="str">
        <f t="shared" si="8"/>
        <v>Incidentals  (Included as part of Basic Needs)</v>
      </c>
      <c r="C37" s="20">
        <f>IF(Actuals!C$39&gt;0,Actuals!C37,Budget!C37)</f>
        <v>716.91000000000008</v>
      </c>
      <c r="D37" s="20">
        <f>IF(Actuals!D$39&gt;0,Actuals!D37,Budget!D37)</f>
        <v>0</v>
      </c>
      <c r="E37" s="20">
        <f>IF(Actuals!E$39&gt;0,Actuals!E37,Budget!E37)</f>
        <v>0</v>
      </c>
      <c r="F37" s="20">
        <f>IF(Actuals!F$39&gt;0,Actuals!F37,Budget!F37)</f>
        <v>0</v>
      </c>
      <c r="G37" s="20">
        <f>IF(Actuals!G$39&gt;0,Actuals!G37,Budget!G37)</f>
        <v>0</v>
      </c>
      <c r="H37" s="20">
        <f>IF(Actuals!H$39&gt;0,Actuals!H37,Budget!H37)</f>
        <v>0</v>
      </c>
      <c r="I37" s="20">
        <f>IF(Actuals!I$39&gt;0,Actuals!I37,Budget!I37)</f>
        <v>0</v>
      </c>
      <c r="J37" s="20">
        <f>IF(Actuals!J$39&gt;0,Actuals!J37,Budget!J37)</f>
        <v>0</v>
      </c>
      <c r="K37" s="20">
        <f>IF(Actuals!K$39&gt;0,Actuals!K37,Budget!K37)</f>
        <v>0</v>
      </c>
      <c r="L37" s="20">
        <f>IF(Actuals!L$39&gt;0,Actuals!L37,Budget!L37)</f>
        <v>0</v>
      </c>
      <c r="M37" s="20">
        <f>IF(Actuals!M$39&gt;0,Actuals!M37,Budget!M37)</f>
        <v>0</v>
      </c>
      <c r="N37" s="20">
        <f>IF(Actuals!N$39&gt;0,Actuals!N37,Budget!N37)</f>
        <v>0</v>
      </c>
      <c r="O37" s="20">
        <f>IF(Actuals!O$39&gt;0,Actuals!O37,Budget!O37)</f>
        <v>0</v>
      </c>
      <c r="P37" s="37">
        <f t="shared" si="7"/>
        <v>716.91000000000008</v>
      </c>
    </row>
    <row r="38" spans="1:16" x14ac:dyDescent="0.25">
      <c r="A38" s="57"/>
      <c r="B38" s="7" t="str">
        <f t="shared" si="8"/>
        <v>Medical Expenses (not covered by OHIP or IFHP)</v>
      </c>
      <c r="C38" s="20">
        <f>IF(Actuals!C$39&gt;0,Actuals!C38,Budget!C38)</f>
        <v>0</v>
      </c>
      <c r="D38" s="20">
        <f>IF(Actuals!D$39&gt;0,Actuals!D38,Budget!D38)</f>
        <v>0</v>
      </c>
      <c r="E38" s="20">
        <f>IF(Actuals!E$39&gt;0,Actuals!E38,Budget!E38)</f>
        <v>0</v>
      </c>
      <c r="F38" s="20">
        <f>IF(Actuals!F$39&gt;0,Actuals!F38,Budget!F38)</f>
        <v>0</v>
      </c>
      <c r="G38" s="20">
        <f>IF(Actuals!G$39&gt;0,Actuals!G38,Budget!G38)</f>
        <v>0</v>
      </c>
      <c r="H38" s="20">
        <f>IF(Actuals!H$39&gt;0,Actuals!H38,Budget!H38)</f>
        <v>0</v>
      </c>
      <c r="I38" s="20">
        <f>IF(Actuals!I$39&gt;0,Actuals!I38,Budget!I38)</f>
        <v>0</v>
      </c>
      <c r="J38" s="20">
        <f>IF(Actuals!J$39&gt;0,Actuals!J38,Budget!J38)</f>
        <v>0</v>
      </c>
      <c r="K38" s="20">
        <f>IF(Actuals!K$39&gt;0,Actuals!K38,Budget!K38)</f>
        <v>0</v>
      </c>
      <c r="L38" s="20">
        <f>IF(Actuals!L$39&gt;0,Actuals!L38,Budget!L38)</f>
        <v>0</v>
      </c>
      <c r="M38" s="20">
        <f>IF(Actuals!M$39&gt;0,Actuals!M38,Budget!M38)</f>
        <v>0</v>
      </c>
      <c r="N38" s="20">
        <f>IF(Actuals!N$39&gt;0,Actuals!N38,Budget!N38)</f>
        <v>0</v>
      </c>
      <c r="O38" s="20">
        <f>IF(Actuals!O$39&gt;0,Actuals!O38,Budget!O38)</f>
        <v>0</v>
      </c>
      <c r="P38" s="37">
        <f t="shared" ref="P38" si="9">SUM(C38:O38)</f>
        <v>0</v>
      </c>
    </row>
    <row r="39" spans="1:16" ht="15.75" thickBot="1" x14ac:dyDescent="0.3">
      <c r="A39" s="9"/>
      <c r="B39" s="15" t="s">
        <v>44</v>
      </c>
      <c r="C39" s="19">
        <f>SUM(C30:C38)</f>
        <v>3244.8100000000004</v>
      </c>
      <c r="D39" s="19">
        <f t="shared" ref="D39:P39" si="10">SUM(D30:D38)</f>
        <v>2103.0700000000002</v>
      </c>
      <c r="E39" s="19">
        <f t="shared" si="10"/>
        <v>2103.0700000000002</v>
      </c>
      <c r="F39" s="19">
        <f t="shared" si="10"/>
        <v>2103.0700000000002</v>
      </c>
      <c r="G39" s="19">
        <f t="shared" si="10"/>
        <v>2103.0700000000002</v>
      </c>
      <c r="H39" s="19">
        <f t="shared" si="10"/>
        <v>2103.0700000000002</v>
      </c>
      <c r="I39" s="19">
        <f t="shared" si="10"/>
        <v>2103.0700000000002</v>
      </c>
      <c r="J39" s="19">
        <f t="shared" si="10"/>
        <v>2103.0700000000002</v>
      </c>
      <c r="K39" s="19">
        <f t="shared" si="10"/>
        <v>2103.0700000000002</v>
      </c>
      <c r="L39" s="19">
        <f t="shared" si="10"/>
        <v>2103.0700000000002</v>
      </c>
      <c r="M39" s="19">
        <f t="shared" si="10"/>
        <v>2103.0700000000002</v>
      </c>
      <c r="N39" s="19">
        <f t="shared" si="10"/>
        <v>2103.0700000000002</v>
      </c>
      <c r="O39" s="19">
        <f t="shared" si="10"/>
        <v>2103.0700000000002</v>
      </c>
      <c r="P39" s="19">
        <f t="shared" si="10"/>
        <v>28481.649999999998</v>
      </c>
    </row>
    <row r="40" spans="1:16" ht="15.75" thickTop="1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ht="18.75" x14ac:dyDescent="0.25">
      <c r="A41" s="12" t="s">
        <v>181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6" ht="18.75" x14ac:dyDescent="0.25">
      <c r="A42" s="12"/>
      <c r="B42" s="159" t="s">
        <v>182</v>
      </c>
      <c r="C42" s="20">
        <f>IF(Actuals!C$42&gt;0,Actuals!C42,Budget!C42)</f>
        <v>0</v>
      </c>
      <c r="D42" s="20">
        <f>IF(Actuals!D$42&gt;0,Actuals!D42,Budget!D42)</f>
        <v>0</v>
      </c>
      <c r="E42" s="20">
        <f>IF(Actuals!E$42&gt;0,Actuals!E42,Budget!E42)</f>
        <v>0</v>
      </c>
      <c r="F42" s="20">
        <f>IF(Actuals!F$42&gt;0,Actuals!F42,Budget!F42)</f>
        <v>0</v>
      </c>
      <c r="G42" s="20">
        <f>IF(Actuals!G$42&gt;0,Actuals!G42,Budget!G42)</f>
        <v>0</v>
      </c>
      <c r="H42" s="20">
        <f>IF(Actuals!H$42&gt;0,Actuals!H42,Budget!H42)</f>
        <v>0</v>
      </c>
      <c r="I42" s="20">
        <f>IF(Actuals!I$42&gt;0,Actuals!I42,Budget!I42)</f>
        <v>0</v>
      </c>
      <c r="J42" s="20">
        <f>IF(Actuals!J$42&gt;0,Actuals!J42,Budget!J42)</f>
        <v>0</v>
      </c>
      <c r="K42" s="20">
        <f>IF(Actuals!K$42&gt;0,Actuals!K42,Budget!K42)</f>
        <v>0</v>
      </c>
      <c r="L42" s="20">
        <f>IF(Actuals!L$42&gt;0,Actuals!L42,Budget!L42)</f>
        <v>0</v>
      </c>
      <c r="M42" s="20">
        <f>IF(Actuals!M$42&gt;0,Actuals!M42,Budget!M42)</f>
        <v>0</v>
      </c>
      <c r="N42" s="20">
        <f>IF(Actuals!N$42&gt;0,Actuals!N42,Budget!N42)</f>
        <v>0</v>
      </c>
      <c r="O42" s="20">
        <f>IF(Actuals!O$42&gt;0,Actuals!O42,Budget!O42)</f>
        <v>0</v>
      </c>
      <c r="P42" s="37">
        <f>SUM(C42:O42)</f>
        <v>0</v>
      </c>
    </row>
    <row r="43" spans="1:16" ht="18.75" x14ac:dyDescent="0.25">
      <c r="A43" s="12"/>
      <c r="B43" s="158" t="s">
        <v>183</v>
      </c>
      <c r="C43" s="20">
        <f>IF(Actuals!C$43&gt;0,Actuals!C43,Budget!C43)</f>
        <v>0</v>
      </c>
      <c r="D43" s="20">
        <f>IF(Actuals!D$43&gt;0,Actuals!D43,Budget!D43)</f>
        <v>0</v>
      </c>
      <c r="E43" s="20">
        <f>IF(Actuals!E$43&gt;0,Actuals!E43,Budget!E43)</f>
        <v>0</v>
      </c>
      <c r="F43" s="20">
        <f>IF(Actuals!F$43&gt;0,Actuals!F43,Budget!F43)</f>
        <v>0</v>
      </c>
      <c r="G43" s="20">
        <f>IF(Actuals!G$43&gt;0,Actuals!G43,Budget!G43)</f>
        <v>0</v>
      </c>
      <c r="H43" s="20">
        <f>IF(Actuals!H$43&gt;0,Actuals!H43,Budget!H43)</f>
        <v>0</v>
      </c>
      <c r="I43" s="20">
        <f>IF(Actuals!I$43&gt;0,Actuals!I43,Budget!I43)</f>
        <v>0</v>
      </c>
      <c r="J43" s="20">
        <f>IF(Actuals!J$43&gt;0,Actuals!J43,Budget!J43)</f>
        <v>0</v>
      </c>
      <c r="K43" s="20">
        <f>IF(Actuals!K$43&gt;0,Actuals!K43,Budget!K43)</f>
        <v>0</v>
      </c>
      <c r="L43" s="20">
        <f>IF(Actuals!L$43&gt;0,Actuals!L43,Budget!L43)</f>
        <v>0</v>
      </c>
      <c r="M43" s="20">
        <f>IF(Actuals!M$43&gt;0,Actuals!M43,Budget!M43)</f>
        <v>0</v>
      </c>
      <c r="N43" s="20">
        <f>IF(Actuals!N$43&gt;0,Actuals!N43,Budget!N43)</f>
        <v>0</v>
      </c>
      <c r="O43" s="20">
        <f>IF(Actuals!O$43&gt;0,Actuals!O43,Budget!O43)</f>
        <v>0</v>
      </c>
      <c r="P43" s="37">
        <f>SUM(C43:O43)</f>
        <v>0</v>
      </c>
    </row>
    <row r="44" spans="1:16" ht="18.75" x14ac:dyDescent="0.25">
      <c r="A44" s="12" t="s">
        <v>184</v>
      </c>
    </row>
    <row r="45" spans="1:16" x14ac:dyDescent="0.25">
      <c r="B45" s="159" t="s">
        <v>185</v>
      </c>
      <c r="C45" s="20">
        <f>IF(Actuals!C$45&gt;0,Actuals!C45,Budget!C45)</f>
        <v>0</v>
      </c>
      <c r="D45" s="20">
        <f>IF(Actuals!D$45&gt;0,Actuals!D45,Budget!D45)</f>
        <v>0</v>
      </c>
      <c r="E45" s="20">
        <f>IF(Actuals!E$45&gt;0,Actuals!E45,Budget!E45)</f>
        <v>0</v>
      </c>
      <c r="F45" s="20">
        <f>IF(Actuals!F$45&gt;0,Actuals!F45,Budget!F45)</f>
        <v>0</v>
      </c>
      <c r="G45" s="20">
        <f>IF(Actuals!G$45&gt;0,Actuals!G45,Budget!G45)</f>
        <v>0</v>
      </c>
      <c r="H45" s="20">
        <f>IF(Actuals!H$45&gt;0,Actuals!H45,Budget!H45)</f>
        <v>0</v>
      </c>
      <c r="I45" s="20">
        <f>IF(Actuals!I$45&gt;0,Actuals!I45,Budget!I45)</f>
        <v>0</v>
      </c>
      <c r="J45" s="20">
        <f>IF(Actuals!J$45&gt;0,Actuals!J45,Budget!J45)</f>
        <v>0</v>
      </c>
      <c r="K45" s="20">
        <f>IF(Actuals!K$45&gt;0,Actuals!K45,Budget!K45)</f>
        <v>0</v>
      </c>
      <c r="L45" s="20">
        <f>IF(Actuals!L$45&gt;0,Actuals!L45,Budget!L45)</f>
        <v>0</v>
      </c>
      <c r="M45" s="20">
        <f>IF(Actuals!M$45&gt;0,Actuals!M45,Budget!M45)</f>
        <v>0</v>
      </c>
      <c r="N45" s="20">
        <f>IF(Actuals!N$45&gt;0,Actuals!N45,Budget!N45)</f>
        <v>0</v>
      </c>
      <c r="O45" s="20">
        <f>IF(Actuals!O$45&gt;0,Actuals!O45,Budget!O45)</f>
        <v>0</v>
      </c>
      <c r="P45" s="37">
        <f>SUM(C45:O45)</f>
        <v>0</v>
      </c>
    </row>
    <row r="46" spans="1:16" x14ac:dyDescent="0.25">
      <c r="B46" s="159" t="s">
        <v>186</v>
      </c>
      <c r="C46" s="20">
        <f>IF(Actuals!C$46&gt;0,Actuals!C46,Budget!C46)</f>
        <v>0</v>
      </c>
      <c r="D46" s="20">
        <f>IF(Actuals!D$46&gt;0,Actuals!D46,Budget!D46)</f>
        <v>0</v>
      </c>
      <c r="E46" s="20">
        <f>IF(Actuals!E$46&gt;0,Actuals!E46,Budget!E46)</f>
        <v>0</v>
      </c>
      <c r="F46" s="20">
        <f>IF(Actuals!F$46&gt;0,Actuals!F46,Budget!F46)</f>
        <v>0</v>
      </c>
      <c r="G46" s="20">
        <f>IF(Actuals!G$46&gt;0,Actuals!G46,Budget!G46)</f>
        <v>0</v>
      </c>
      <c r="H46" s="20">
        <f>IF(Actuals!H$46&gt;0,Actuals!H46,Budget!H46)</f>
        <v>0</v>
      </c>
      <c r="I46" s="20">
        <f>IF(Actuals!I$46&gt;0,Actuals!I46,Budget!I46)</f>
        <v>0</v>
      </c>
      <c r="J46" s="20">
        <f>IF(Actuals!J$46&gt;0,Actuals!J46,Budget!J46)</f>
        <v>0</v>
      </c>
      <c r="K46" s="20">
        <f>IF(Actuals!K$46&gt;0,Actuals!K46,Budget!K46)</f>
        <v>0</v>
      </c>
      <c r="L46" s="20">
        <f>IF(Actuals!L$46&gt;0,Actuals!L46,Budget!L46)</f>
        <v>0</v>
      </c>
      <c r="M46" s="20">
        <f>IF(Actuals!M$46&gt;0,Actuals!M46,Budget!M46)</f>
        <v>0</v>
      </c>
      <c r="N46" s="20">
        <f>IF(Actuals!N$46&gt;0,Actuals!N46,Budget!N46)</f>
        <v>0</v>
      </c>
      <c r="O46" s="20">
        <f>IF(Actuals!O$46&gt;0,Actuals!O46,Budget!O46)</f>
        <v>0</v>
      </c>
      <c r="P46" s="37">
        <f>SUM(C46:O46)</f>
        <v>0</v>
      </c>
    </row>
    <row r="47" spans="1:16" ht="15.75" thickBot="1" x14ac:dyDescent="0.3">
      <c r="A47" s="162"/>
      <c r="B47" s="163" t="s">
        <v>187</v>
      </c>
      <c r="C47" s="19">
        <f>C46+C43</f>
        <v>0</v>
      </c>
      <c r="D47" s="19">
        <f t="shared" ref="D47:O47" si="11">D46+D43</f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>SUM(C47:O47)</f>
        <v>0</v>
      </c>
    </row>
    <row r="48" spans="1:16" ht="15.75" thickTop="1" x14ac:dyDescent="0.25">
      <c r="B48" s="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</row>
    <row r="49" spans="1:18" ht="15.75" thickBot="1" x14ac:dyDescent="0.3">
      <c r="A49" s="11" t="s">
        <v>188</v>
      </c>
      <c r="B49" s="11"/>
      <c r="C49" s="19">
        <f>C47-C39</f>
        <v>-3244.8100000000004</v>
      </c>
      <c r="D49" s="19">
        <f t="shared" ref="D49:O49" si="12">D47-D39</f>
        <v>-2103.0700000000002</v>
      </c>
      <c r="E49" s="19">
        <f t="shared" si="12"/>
        <v>-2103.0700000000002</v>
      </c>
      <c r="F49" s="19">
        <f t="shared" si="12"/>
        <v>-2103.0700000000002</v>
      </c>
      <c r="G49" s="19">
        <f t="shared" si="12"/>
        <v>-2103.0700000000002</v>
      </c>
      <c r="H49" s="19">
        <f t="shared" si="12"/>
        <v>-2103.0700000000002</v>
      </c>
      <c r="I49" s="19">
        <f t="shared" si="12"/>
        <v>-2103.0700000000002</v>
      </c>
      <c r="J49" s="19">
        <f t="shared" si="12"/>
        <v>-2103.0700000000002</v>
      </c>
      <c r="K49" s="19">
        <f t="shared" si="12"/>
        <v>-2103.0700000000002</v>
      </c>
      <c r="L49" s="19">
        <f t="shared" si="12"/>
        <v>-2103.0700000000002</v>
      </c>
      <c r="M49" s="19">
        <f t="shared" si="12"/>
        <v>-2103.0700000000002</v>
      </c>
      <c r="N49" s="19">
        <f t="shared" si="12"/>
        <v>-2103.0700000000002</v>
      </c>
      <c r="O49" s="19">
        <f t="shared" si="12"/>
        <v>-2103.0700000000002</v>
      </c>
      <c r="P49" s="17">
        <f>SUM(C49:O49)</f>
        <v>-28481.649999999998</v>
      </c>
    </row>
    <row r="50" spans="1:18" ht="16.5" thickTop="1" thickBot="1" x14ac:dyDescent="0.3">
      <c r="A50" s="44" t="s">
        <v>189</v>
      </c>
      <c r="B50" s="44"/>
      <c r="C50" s="175">
        <f>C49</f>
        <v>-3244.8100000000004</v>
      </c>
      <c r="D50" s="175">
        <f>D49+C50</f>
        <v>-5347.880000000001</v>
      </c>
      <c r="E50" s="175">
        <f t="shared" ref="E50:O50" si="13">E49+D50</f>
        <v>-7450.9500000000007</v>
      </c>
      <c r="F50" s="175">
        <f t="shared" si="13"/>
        <v>-9554.02</v>
      </c>
      <c r="G50" s="175">
        <f t="shared" si="13"/>
        <v>-11657.09</v>
      </c>
      <c r="H50" s="175">
        <f t="shared" si="13"/>
        <v>-13760.16</v>
      </c>
      <c r="I50" s="175">
        <f t="shared" si="13"/>
        <v>-15863.23</v>
      </c>
      <c r="J50" s="175">
        <f t="shared" si="13"/>
        <v>-17966.3</v>
      </c>
      <c r="K50" s="175">
        <f t="shared" si="13"/>
        <v>-20069.37</v>
      </c>
      <c r="L50" s="175">
        <f t="shared" si="13"/>
        <v>-22172.44</v>
      </c>
      <c r="M50" s="175">
        <f t="shared" si="13"/>
        <v>-24275.51</v>
      </c>
      <c r="N50" s="175">
        <f t="shared" si="13"/>
        <v>-26378.579999999998</v>
      </c>
      <c r="O50" s="175">
        <f t="shared" si="13"/>
        <v>-28481.649999999998</v>
      </c>
      <c r="P50" s="19"/>
    </row>
    <row r="51" spans="1:18" ht="15.75" thickTop="1" x14ac:dyDescent="0.25">
      <c r="A51" s="2" t="s">
        <v>190</v>
      </c>
      <c r="B51" s="2"/>
    </row>
    <row r="52" spans="1:18" x14ac:dyDescent="0.25">
      <c r="A52" s="2"/>
      <c r="B52" s="2" t="s">
        <v>191</v>
      </c>
      <c r="C52" s="20">
        <f>IF(Actuals!C$52&gt;0,Actuals!C52,Budget!C52)</f>
        <v>0</v>
      </c>
      <c r="D52" s="20">
        <f>IF(Actuals!D$52&gt;0,Actuals!D52,Budget!D52)</f>
        <v>0</v>
      </c>
      <c r="E52" s="20">
        <f>IF(Actuals!E$52&gt;0,Actuals!E52,Budget!E52)</f>
        <v>0</v>
      </c>
      <c r="F52" s="20">
        <f>IF(Actuals!F$52&gt;0,Actuals!F52,Budget!F52)</f>
        <v>0</v>
      </c>
      <c r="G52" s="20">
        <f>IF(Actuals!G$52&gt;0,Actuals!G52,Budget!G52)</f>
        <v>0</v>
      </c>
      <c r="H52" s="20">
        <f>IF(Actuals!H$52&gt;0,Actuals!H52,Budget!H52)</f>
        <v>0</v>
      </c>
      <c r="I52" s="20">
        <f>IF(Actuals!I$52&gt;0,Actuals!I52,Budget!I52)</f>
        <v>0</v>
      </c>
      <c r="J52" s="20">
        <f>IF(Actuals!J$52&gt;0,Actuals!J52,Budget!J52)</f>
        <v>0</v>
      </c>
      <c r="K52" s="20">
        <f>IF(Actuals!K$52&gt;0,Actuals!K52,Budget!K52)</f>
        <v>0</v>
      </c>
      <c r="L52" s="20">
        <f>IF(Actuals!L$52&gt;0,Actuals!L52,Budget!L52)</f>
        <v>0</v>
      </c>
      <c r="M52" s="20">
        <f>IF(Actuals!M$52&gt;0,Actuals!M52,Budget!M52)</f>
        <v>0</v>
      </c>
      <c r="N52" s="20">
        <f>IF(Actuals!N$52&gt;0,Actuals!N52,Budget!N52)</f>
        <v>0</v>
      </c>
      <c r="O52" s="20">
        <f>IF(Actuals!O$52&gt;0,Actuals!O52,Budget!O52)</f>
        <v>0</v>
      </c>
      <c r="P52" s="37">
        <f>SUM(C52:O52)</f>
        <v>0</v>
      </c>
    </row>
    <row r="53" spans="1:18" x14ac:dyDescent="0.25">
      <c r="A53" s="2"/>
      <c r="B53" s="2" t="s">
        <v>193</v>
      </c>
      <c r="C53" s="20">
        <f>IF(Actuals!C$53&gt;0,Actuals!C53,Budget!C53)</f>
        <v>0</v>
      </c>
      <c r="D53" s="20">
        <f>IF(Actuals!D$53&gt;0,Actuals!D53,Budget!D53)</f>
        <v>0</v>
      </c>
      <c r="E53" s="20">
        <f>IF(Actuals!E$53&gt;0,Actuals!E53,Budget!E53)</f>
        <v>0</v>
      </c>
      <c r="F53" s="20">
        <f>IF(Actuals!F$53&gt;0,Actuals!F53,Budget!F53)</f>
        <v>0</v>
      </c>
      <c r="G53" s="20">
        <f>IF(Actuals!G$53&gt;0,Actuals!G53,Budget!G53)</f>
        <v>0</v>
      </c>
      <c r="H53" s="20">
        <f>IF(Actuals!H$53&gt;0,Actuals!H53,Budget!H53)</f>
        <v>0</v>
      </c>
      <c r="I53" s="20">
        <f>IF(Actuals!I$53&gt;0,Actuals!I53,Budget!I53)</f>
        <v>0</v>
      </c>
      <c r="J53" s="20">
        <f>IF(Actuals!J$53&gt;0,Actuals!J53,Budget!J53)</f>
        <v>0</v>
      </c>
      <c r="K53" s="20">
        <f>IF(Actuals!K$53&gt;0,Actuals!K53,Budget!K53)</f>
        <v>0</v>
      </c>
      <c r="L53" s="20">
        <f>IF(Actuals!L$53&gt;0,Actuals!L53,Budget!L53)</f>
        <v>0</v>
      </c>
      <c r="M53" s="20">
        <f>IF(Actuals!M$53&gt;0,Actuals!M53,Budget!M53)</f>
        <v>0</v>
      </c>
      <c r="N53" s="20">
        <f>IF(Actuals!N$53&gt;0,Actuals!N53,Budget!N53)</f>
        <v>0</v>
      </c>
      <c r="O53" s="20">
        <f>IF(Actuals!O$53&gt;0,Actuals!O53,Budget!O53)</f>
        <v>0</v>
      </c>
      <c r="P53" s="37">
        <f>SUM(C53:O53)</f>
        <v>0</v>
      </c>
      <c r="R53" s="47"/>
    </row>
    <row r="54" spans="1:18" x14ac:dyDescent="0.25">
      <c r="A54" s="2"/>
      <c r="B54" s="2" t="s">
        <v>194</v>
      </c>
      <c r="C54" s="20">
        <f>IF(Actuals!C$54&gt;0,Actuals!C54,Budget!C54)</f>
        <v>0</v>
      </c>
      <c r="D54" s="20">
        <f>IF(Actuals!D$54&gt;0,Actuals!D54,Budget!D54)</f>
        <v>0</v>
      </c>
      <c r="E54" s="20">
        <f>IF(Actuals!E$54&gt;0,Actuals!E54,Budget!E54)</f>
        <v>0</v>
      </c>
      <c r="F54" s="20">
        <f>IF(Actuals!F$54&gt;0,Actuals!F54,Budget!F54)</f>
        <v>0</v>
      </c>
      <c r="G54" s="20">
        <f>IF(Actuals!G$54&gt;0,Actuals!G54,Budget!G54)</f>
        <v>0</v>
      </c>
      <c r="H54" s="20">
        <f>IF(Actuals!H$54&gt;0,Actuals!H54,Budget!H54)</f>
        <v>0</v>
      </c>
      <c r="I54" s="20">
        <f>IF(Actuals!I$54&gt;0,Actuals!I54,Budget!I54)</f>
        <v>0</v>
      </c>
      <c r="J54" s="20">
        <f>IF(Actuals!J$54&gt;0,Actuals!J54,Budget!J54)</f>
        <v>0</v>
      </c>
      <c r="K54" s="20">
        <f>IF(Actuals!K$54&gt;0,Actuals!K54,Budget!K54)</f>
        <v>0</v>
      </c>
      <c r="L54" s="20">
        <f>IF(Actuals!L$54&gt;0,Actuals!L54,Budget!L54)</f>
        <v>0</v>
      </c>
      <c r="M54" s="20">
        <f>IF(Actuals!M$54&gt;0,Actuals!M54,Budget!M54)</f>
        <v>0</v>
      </c>
      <c r="N54" s="20">
        <f>IF(Actuals!N$54&gt;0,Actuals!N54,Budget!N54)</f>
        <v>0</v>
      </c>
      <c r="O54" s="20">
        <f>IF(Actuals!O$54&gt;0,Actuals!O54,Budget!O54)</f>
        <v>0</v>
      </c>
      <c r="P54" s="37">
        <f>SUM(C54:O54)</f>
        <v>0</v>
      </c>
      <c r="R54" s="47"/>
    </row>
    <row r="55" spans="1:18" x14ac:dyDescent="0.25">
      <c r="A55" s="35" t="s">
        <v>195</v>
      </c>
      <c r="B55" s="36"/>
      <c r="C55" s="38" t="str">
        <f>IF(C52+C53+C54+C49=0,"Balanced","Not Balanced")</f>
        <v>Not Balanced</v>
      </c>
      <c r="D55" s="38" t="str">
        <f t="shared" ref="D55:P55" si="14">IF(D52+D53+D54+D49=0,"Balanced","Not Balanced")</f>
        <v>Not Balanced</v>
      </c>
      <c r="E55" s="38" t="str">
        <f t="shared" si="14"/>
        <v>Not Balanced</v>
      </c>
      <c r="F55" s="38" t="str">
        <f t="shared" si="14"/>
        <v>Not Balanced</v>
      </c>
      <c r="G55" s="38" t="str">
        <f t="shared" si="14"/>
        <v>Not Balanced</v>
      </c>
      <c r="H55" s="38" t="str">
        <f t="shared" si="14"/>
        <v>Not Balanced</v>
      </c>
      <c r="I55" s="38" t="str">
        <f t="shared" si="14"/>
        <v>Not Balanced</v>
      </c>
      <c r="J55" s="38" t="str">
        <f t="shared" si="14"/>
        <v>Not Balanced</v>
      </c>
      <c r="K55" s="38" t="str">
        <f t="shared" si="14"/>
        <v>Not Balanced</v>
      </c>
      <c r="L55" s="38" t="str">
        <f t="shared" si="14"/>
        <v>Not Balanced</v>
      </c>
      <c r="M55" s="38" t="str">
        <f t="shared" si="14"/>
        <v>Not Balanced</v>
      </c>
      <c r="N55" s="38" t="str">
        <f t="shared" si="14"/>
        <v>Not Balanced</v>
      </c>
      <c r="O55" s="38" t="str">
        <f t="shared" si="14"/>
        <v>Not Balanced</v>
      </c>
      <c r="P55" s="38" t="str">
        <f t="shared" si="14"/>
        <v>Not Balanced</v>
      </c>
      <c r="R55" s="47"/>
    </row>
    <row r="56" spans="1:18" x14ac:dyDescent="0.25">
      <c r="R56" s="47"/>
    </row>
    <row r="57" spans="1:18" ht="18.75" x14ac:dyDescent="0.25">
      <c r="A57" s="12" t="s">
        <v>197</v>
      </c>
      <c r="R57" s="47"/>
    </row>
    <row r="58" spans="1:18" x14ac:dyDescent="0.25">
      <c r="B58" s="1" t="s">
        <v>199</v>
      </c>
      <c r="C58" s="20">
        <f>IF(Actuals!C$66&gt;0,Actuals!C58,Budget!C58)</f>
        <v>0</v>
      </c>
      <c r="D58" s="20">
        <f>IF(Actuals!D$66&gt;0,Actuals!D58,Budget!D58)</f>
        <v>0</v>
      </c>
      <c r="E58" s="20">
        <f>IF(Actuals!E$66&gt;0,Actuals!E58,Budget!E58)</f>
        <v>0</v>
      </c>
      <c r="F58" s="20">
        <f>IF(Actuals!F$66&gt;0,Actuals!F58,Budget!F58)</f>
        <v>0</v>
      </c>
      <c r="G58" s="20">
        <f>IF(Actuals!G$66&gt;0,Actuals!G58,Budget!G58)</f>
        <v>0</v>
      </c>
      <c r="H58" s="20">
        <f>IF(Actuals!H$66&gt;0,Actuals!H58,Budget!H58)</f>
        <v>0</v>
      </c>
      <c r="I58" s="20">
        <f>IF(Actuals!I$66&gt;0,Actuals!I58,Budget!I58)</f>
        <v>0</v>
      </c>
      <c r="J58" s="20">
        <f>IF(Actuals!J$66&gt;0,Actuals!J58,Budget!J58)</f>
        <v>0</v>
      </c>
      <c r="K58" s="20">
        <f>IF(Actuals!K$66&gt;0,Actuals!K58,Budget!K58)</f>
        <v>0</v>
      </c>
      <c r="L58" s="20">
        <f>IF(Actuals!L$66&gt;0,Actuals!L58,Budget!L58)</f>
        <v>0</v>
      </c>
      <c r="M58" s="20">
        <f>IF(Actuals!M$66&gt;0,Actuals!M58,Budget!M58)</f>
        <v>0</v>
      </c>
      <c r="N58" s="20">
        <f>IF(Actuals!N$66&gt;0,Actuals!N58,Budget!N58)</f>
        <v>0</v>
      </c>
      <c r="O58" s="20">
        <f>IF(Actuals!O$66&gt;0,Actuals!O58,Budget!O58)</f>
        <v>0</v>
      </c>
      <c r="P58" s="37">
        <f>SUM(C58:O58)</f>
        <v>0</v>
      </c>
    </row>
    <row r="59" spans="1:18" x14ac:dyDescent="0.25">
      <c r="B59" s="1" t="s">
        <v>200</v>
      </c>
      <c r="C59" s="20">
        <f>IF(Actuals!C$66&gt;0,Actuals!C59,Budget!C59)</f>
        <v>0</v>
      </c>
      <c r="D59" s="20">
        <f>IF(Actuals!D$66&gt;0,Actuals!D59,Budget!D59)</f>
        <v>0</v>
      </c>
      <c r="E59" s="20">
        <f>IF(Actuals!E$66&gt;0,Actuals!E59,Budget!E59)</f>
        <v>0</v>
      </c>
      <c r="F59" s="20">
        <f>IF(Actuals!F$66&gt;0,Actuals!F59,Budget!F59)</f>
        <v>0</v>
      </c>
      <c r="G59" s="20">
        <f>IF(Actuals!G$66&gt;0,Actuals!G59,Budget!G59)</f>
        <v>0</v>
      </c>
      <c r="H59" s="20">
        <f>IF(Actuals!H$66&gt;0,Actuals!H59,Budget!H59)</f>
        <v>0</v>
      </c>
      <c r="I59" s="20">
        <f>IF(Actuals!I$66&gt;0,Actuals!I59,Budget!I59)</f>
        <v>0</v>
      </c>
      <c r="J59" s="20">
        <f>IF(Actuals!J$66&gt;0,Actuals!J59,Budget!J59)</f>
        <v>0</v>
      </c>
      <c r="K59" s="20">
        <f>IF(Actuals!K$66&gt;0,Actuals!K59,Budget!K59)</f>
        <v>0</v>
      </c>
      <c r="L59" s="20">
        <f>IF(Actuals!L$66&gt;0,Actuals!L59,Budget!L59)</f>
        <v>0</v>
      </c>
      <c r="M59" s="20">
        <f>IF(Actuals!M$66&gt;0,Actuals!M59,Budget!M59)</f>
        <v>0</v>
      </c>
      <c r="N59" s="20">
        <f>IF(Actuals!N$66&gt;0,Actuals!N59,Budget!N59)</f>
        <v>0</v>
      </c>
      <c r="O59" s="20">
        <f>IF(Actuals!O$66&gt;0,Actuals!O59,Budget!O59)</f>
        <v>0</v>
      </c>
      <c r="P59" s="37">
        <f t="shared" ref="P59:P65" si="15">SUM(C59:O59)</f>
        <v>0</v>
      </c>
    </row>
    <row r="60" spans="1:18" x14ac:dyDescent="0.25">
      <c r="B60" s="1" t="s">
        <v>201</v>
      </c>
      <c r="C60" s="20">
        <f>IF(Actuals!C$66&gt;0,Actuals!C60,Budget!C60)</f>
        <v>0</v>
      </c>
      <c r="D60" s="20">
        <f>IF(Actuals!D$66&gt;0,Actuals!D60,Budget!D60)</f>
        <v>0</v>
      </c>
      <c r="E60" s="20">
        <f>IF(Actuals!E$66&gt;0,Actuals!E60,Budget!E60)</f>
        <v>0</v>
      </c>
      <c r="F60" s="20">
        <f>IF(Actuals!F$66&gt;0,Actuals!F60,Budget!F60)</f>
        <v>0</v>
      </c>
      <c r="G60" s="20">
        <f>IF(Actuals!G$66&gt;0,Actuals!G60,Budget!G60)</f>
        <v>0</v>
      </c>
      <c r="H60" s="20">
        <f>IF(Actuals!H$66&gt;0,Actuals!H60,Budget!H60)</f>
        <v>0</v>
      </c>
      <c r="I60" s="20">
        <f>IF(Actuals!I$66&gt;0,Actuals!I60,Budget!I60)</f>
        <v>0</v>
      </c>
      <c r="J60" s="20">
        <f>IF(Actuals!J$66&gt;0,Actuals!J60,Budget!J60)</f>
        <v>0</v>
      </c>
      <c r="K60" s="20">
        <f>IF(Actuals!K$66&gt;0,Actuals!K60,Budget!K60)</f>
        <v>0</v>
      </c>
      <c r="L60" s="20">
        <f>IF(Actuals!L$66&gt;0,Actuals!L60,Budget!L60)</f>
        <v>0</v>
      </c>
      <c r="M60" s="20">
        <f>IF(Actuals!M$66&gt;0,Actuals!M60,Budget!M60)</f>
        <v>0</v>
      </c>
      <c r="N60" s="20">
        <f>IF(Actuals!N$66&gt;0,Actuals!N60,Budget!N60)</f>
        <v>0</v>
      </c>
      <c r="O60" s="20">
        <f>IF(Actuals!O$66&gt;0,Actuals!O60,Budget!O60)</f>
        <v>0</v>
      </c>
      <c r="P60" s="37">
        <f t="shared" si="15"/>
        <v>0</v>
      </c>
    </row>
    <row r="61" spans="1:18" x14ac:dyDescent="0.25">
      <c r="B61" s="1" t="s">
        <v>202</v>
      </c>
      <c r="C61" s="20">
        <f>IF(Actuals!C$66&gt;0,Actuals!C61,Budget!C61)</f>
        <v>0</v>
      </c>
      <c r="D61" s="20">
        <f>IF(Actuals!D$66&gt;0,Actuals!D61,Budget!D61)</f>
        <v>0</v>
      </c>
      <c r="E61" s="20">
        <f>IF(Actuals!E$66&gt;0,Actuals!E61,Budget!E61)</f>
        <v>0</v>
      </c>
      <c r="F61" s="20">
        <f>IF(Actuals!F$66&gt;0,Actuals!F61,Budget!F61)</f>
        <v>0</v>
      </c>
      <c r="G61" s="20">
        <f>IF(Actuals!G$66&gt;0,Actuals!G61,Budget!G61)</f>
        <v>0</v>
      </c>
      <c r="H61" s="20">
        <f>IF(Actuals!H$66&gt;0,Actuals!H61,Budget!H61)</f>
        <v>0</v>
      </c>
      <c r="I61" s="20">
        <f>IF(Actuals!I$66&gt;0,Actuals!I61,Budget!I61)</f>
        <v>0</v>
      </c>
      <c r="J61" s="20">
        <f>IF(Actuals!J$66&gt;0,Actuals!J61,Budget!J61)</f>
        <v>0</v>
      </c>
      <c r="K61" s="20">
        <f>IF(Actuals!K$66&gt;0,Actuals!K61,Budget!K61)</f>
        <v>0</v>
      </c>
      <c r="L61" s="20">
        <f>IF(Actuals!L$66&gt;0,Actuals!L61,Budget!L61)</f>
        <v>0</v>
      </c>
      <c r="M61" s="20">
        <f>IF(Actuals!M$66&gt;0,Actuals!M61,Budget!M61)</f>
        <v>0</v>
      </c>
      <c r="N61" s="20">
        <f>IF(Actuals!N$66&gt;0,Actuals!N61,Budget!N61)</f>
        <v>0</v>
      </c>
      <c r="O61" s="20">
        <f>IF(Actuals!O$66&gt;0,Actuals!O61,Budget!O61)</f>
        <v>0</v>
      </c>
      <c r="P61" s="37">
        <f t="shared" si="15"/>
        <v>0</v>
      </c>
    </row>
    <row r="62" spans="1:18" x14ac:dyDescent="0.25">
      <c r="B62" s="1" t="s">
        <v>203</v>
      </c>
      <c r="C62" s="20">
        <f>IF(Actuals!C$66&gt;0,Actuals!C62,Budget!C62)</f>
        <v>0</v>
      </c>
      <c r="D62" s="20">
        <f>IF(Actuals!D$66&gt;0,Actuals!D62,Budget!D62)</f>
        <v>0</v>
      </c>
      <c r="E62" s="20">
        <f>IF(Actuals!E$66&gt;0,Actuals!E62,Budget!E62)</f>
        <v>0</v>
      </c>
      <c r="F62" s="20">
        <f>IF(Actuals!F$66&gt;0,Actuals!F62,Budget!F62)</f>
        <v>0</v>
      </c>
      <c r="G62" s="20">
        <f>IF(Actuals!G$66&gt;0,Actuals!G62,Budget!G62)</f>
        <v>0</v>
      </c>
      <c r="H62" s="20">
        <f>IF(Actuals!H$66&gt;0,Actuals!H62,Budget!H62)</f>
        <v>0</v>
      </c>
      <c r="I62" s="20">
        <f>IF(Actuals!I$66&gt;0,Actuals!I62,Budget!I62)</f>
        <v>0</v>
      </c>
      <c r="J62" s="20">
        <f>IF(Actuals!J$66&gt;0,Actuals!J62,Budget!J62)</f>
        <v>0</v>
      </c>
      <c r="K62" s="20">
        <f>IF(Actuals!K$66&gt;0,Actuals!K62,Budget!K62)</f>
        <v>0</v>
      </c>
      <c r="L62" s="20">
        <f>IF(Actuals!L$66&gt;0,Actuals!L62,Budget!L62)</f>
        <v>0</v>
      </c>
      <c r="M62" s="20">
        <f>IF(Actuals!M$66&gt;0,Actuals!M62,Budget!M62)</f>
        <v>0</v>
      </c>
      <c r="N62" s="20">
        <f>IF(Actuals!N$66&gt;0,Actuals!N62,Budget!N62)</f>
        <v>0</v>
      </c>
      <c r="O62" s="20">
        <f>IF(Actuals!O$66&gt;0,Actuals!O62,Budget!O62)</f>
        <v>0</v>
      </c>
      <c r="P62" s="37">
        <f t="shared" si="15"/>
        <v>0</v>
      </c>
    </row>
    <row r="63" spans="1:18" x14ac:dyDescent="0.25">
      <c r="B63" s="1" t="s">
        <v>204</v>
      </c>
      <c r="C63" s="20">
        <f>IF(Actuals!C$66&gt;0,Actuals!C63,Budget!C63)</f>
        <v>0</v>
      </c>
      <c r="D63" s="20">
        <f>IF(Actuals!D$66&gt;0,Actuals!D63,Budget!D63)</f>
        <v>0</v>
      </c>
      <c r="E63" s="20">
        <f>IF(Actuals!E$66&gt;0,Actuals!E63,Budget!E63)</f>
        <v>0</v>
      </c>
      <c r="F63" s="20">
        <f>IF(Actuals!F$66&gt;0,Actuals!F63,Budget!F63)</f>
        <v>0</v>
      </c>
      <c r="G63" s="20">
        <f>IF(Actuals!G$66&gt;0,Actuals!G63,Budget!G63)</f>
        <v>0</v>
      </c>
      <c r="H63" s="20">
        <f>IF(Actuals!H$66&gt;0,Actuals!H63,Budget!H63)</f>
        <v>0</v>
      </c>
      <c r="I63" s="20">
        <f>IF(Actuals!I$66&gt;0,Actuals!I63,Budget!I63)</f>
        <v>0</v>
      </c>
      <c r="J63" s="20">
        <f>IF(Actuals!J$66&gt;0,Actuals!J63,Budget!J63)</f>
        <v>0</v>
      </c>
      <c r="K63" s="20">
        <f>IF(Actuals!K$66&gt;0,Actuals!K63,Budget!K63)</f>
        <v>0</v>
      </c>
      <c r="L63" s="20">
        <f>IF(Actuals!L$66&gt;0,Actuals!L63,Budget!L63)</f>
        <v>0</v>
      </c>
      <c r="M63" s="20">
        <f>IF(Actuals!M$66&gt;0,Actuals!M63,Budget!M63)</f>
        <v>0</v>
      </c>
      <c r="N63" s="20">
        <f>IF(Actuals!N$66&gt;0,Actuals!N63,Budget!N63)</f>
        <v>0</v>
      </c>
      <c r="O63" s="20">
        <f>IF(Actuals!O$66&gt;0,Actuals!O63,Budget!O63)</f>
        <v>0</v>
      </c>
      <c r="P63" s="37">
        <f t="shared" si="15"/>
        <v>0</v>
      </c>
    </row>
    <row r="64" spans="1:18" x14ac:dyDescent="0.25">
      <c r="B64" s="1" t="s">
        <v>205</v>
      </c>
      <c r="C64" s="20">
        <f>IF(Actuals!C$66&gt;0,Actuals!C64,Budget!C64)</f>
        <v>0</v>
      </c>
      <c r="D64" s="20">
        <f>IF(Actuals!D$66&gt;0,Actuals!D64,Budget!D64)</f>
        <v>0</v>
      </c>
      <c r="E64" s="20">
        <f>IF(Actuals!E$66&gt;0,Actuals!E64,Budget!E64)</f>
        <v>0</v>
      </c>
      <c r="F64" s="20">
        <f>IF(Actuals!F$66&gt;0,Actuals!F64,Budget!F64)</f>
        <v>0</v>
      </c>
      <c r="G64" s="20">
        <f>IF(Actuals!G$66&gt;0,Actuals!G64,Budget!G64)</f>
        <v>0</v>
      </c>
      <c r="H64" s="20">
        <f>IF(Actuals!H$66&gt;0,Actuals!H64,Budget!H64)</f>
        <v>0</v>
      </c>
      <c r="I64" s="20">
        <f>IF(Actuals!I$66&gt;0,Actuals!I64,Budget!I64)</f>
        <v>0</v>
      </c>
      <c r="J64" s="20">
        <f>IF(Actuals!J$66&gt;0,Actuals!J64,Budget!J64)</f>
        <v>0</v>
      </c>
      <c r="K64" s="20">
        <f>IF(Actuals!K$66&gt;0,Actuals!K64,Budget!K64)</f>
        <v>0</v>
      </c>
      <c r="L64" s="20">
        <f>IF(Actuals!L$66&gt;0,Actuals!L64,Budget!L64)</f>
        <v>0</v>
      </c>
      <c r="M64" s="20">
        <f>IF(Actuals!M$66&gt;0,Actuals!M64,Budget!M64)</f>
        <v>0</v>
      </c>
      <c r="N64" s="20">
        <f>IF(Actuals!N$66&gt;0,Actuals!N64,Budget!N64)</f>
        <v>0</v>
      </c>
      <c r="O64" s="20">
        <f>IF(Actuals!O$66&gt;0,Actuals!O64,Budget!O64)</f>
        <v>0</v>
      </c>
      <c r="P64" s="37">
        <f t="shared" si="15"/>
        <v>0</v>
      </c>
    </row>
    <row r="65" spans="1:16" x14ac:dyDescent="0.25">
      <c r="B65" s="1" t="s">
        <v>206</v>
      </c>
      <c r="C65" s="20">
        <f>IF(Actuals!C$66&gt;0,Actuals!C65,Budget!C65)</f>
        <v>0</v>
      </c>
      <c r="D65" s="20">
        <f>IF(Actuals!D$66&gt;0,Actuals!D65,Budget!D65)</f>
        <v>0</v>
      </c>
      <c r="E65" s="20">
        <f>IF(Actuals!E$66&gt;0,Actuals!E65,Budget!E65)</f>
        <v>0</v>
      </c>
      <c r="F65" s="20">
        <f>IF(Actuals!F$66&gt;0,Actuals!F65,Budget!F65)</f>
        <v>0</v>
      </c>
      <c r="G65" s="20">
        <f>IF(Actuals!G$66&gt;0,Actuals!G65,Budget!G65)</f>
        <v>0</v>
      </c>
      <c r="H65" s="20">
        <f>IF(Actuals!H$66&gt;0,Actuals!H65,Budget!H65)</f>
        <v>0</v>
      </c>
      <c r="I65" s="20">
        <f>IF(Actuals!I$66&gt;0,Actuals!I65,Budget!I65)</f>
        <v>0</v>
      </c>
      <c r="J65" s="20">
        <f>IF(Actuals!J$66&gt;0,Actuals!J65,Budget!J65)</f>
        <v>0</v>
      </c>
      <c r="K65" s="20">
        <f>IF(Actuals!K$66&gt;0,Actuals!K65,Budget!K65)</f>
        <v>0</v>
      </c>
      <c r="L65" s="20">
        <f>IF(Actuals!L$66&gt;0,Actuals!L65,Budget!L65)</f>
        <v>0</v>
      </c>
      <c r="M65" s="20">
        <f>IF(Actuals!M$66&gt;0,Actuals!M65,Budget!M65)</f>
        <v>0</v>
      </c>
      <c r="N65" s="20">
        <f>IF(Actuals!N$66&gt;0,Actuals!N65,Budget!N65)</f>
        <v>0</v>
      </c>
      <c r="O65" s="20">
        <f>IF(Actuals!O$66&gt;0,Actuals!O65,Budget!O65)</f>
        <v>0</v>
      </c>
      <c r="P65" s="17">
        <f t="shared" si="15"/>
        <v>0</v>
      </c>
    </row>
    <row r="66" spans="1:16" ht="15.75" thickBot="1" x14ac:dyDescent="0.3">
      <c r="B66" s="11" t="s">
        <v>207</v>
      </c>
      <c r="C66" s="19">
        <f>SUM(C58:C65)</f>
        <v>0</v>
      </c>
      <c r="D66" s="19">
        <f t="shared" ref="D66:P66" si="16">SUM(D58:D65)</f>
        <v>0</v>
      </c>
      <c r="E66" s="19">
        <f t="shared" si="16"/>
        <v>0</v>
      </c>
      <c r="F66" s="19">
        <f t="shared" si="16"/>
        <v>0</v>
      </c>
      <c r="G66" s="19">
        <f t="shared" si="16"/>
        <v>0</v>
      </c>
      <c r="H66" s="19">
        <f t="shared" si="16"/>
        <v>0</v>
      </c>
      <c r="I66" s="19">
        <f t="shared" si="16"/>
        <v>0</v>
      </c>
      <c r="J66" s="19">
        <f t="shared" si="16"/>
        <v>0</v>
      </c>
      <c r="K66" s="19">
        <f t="shared" si="16"/>
        <v>0</v>
      </c>
      <c r="L66" s="19">
        <f t="shared" si="16"/>
        <v>0</v>
      </c>
      <c r="M66" s="19">
        <f t="shared" si="16"/>
        <v>0</v>
      </c>
      <c r="N66" s="19">
        <f t="shared" si="16"/>
        <v>0</v>
      </c>
      <c r="O66" s="19">
        <f t="shared" si="16"/>
        <v>0</v>
      </c>
      <c r="P66" s="19">
        <f t="shared" si="16"/>
        <v>0</v>
      </c>
    </row>
    <row r="67" spans="1:16" ht="16.5" thickTop="1" thickBot="1" x14ac:dyDescent="0.3">
      <c r="B67" s="44" t="s">
        <v>208</v>
      </c>
      <c r="C67" s="175">
        <f>C27+C47+C52+C53+C66</f>
        <v>0</v>
      </c>
      <c r="D67" s="175">
        <f t="shared" ref="D67:P67" si="17">D27+D47+D52+D53+D66</f>
        <v>0</v>
      </c>
      <c r="E67" s="175">
        <f t="shared" si="17"/>
        <v>0</v>
      </c>
      <c r="F67" s="175">
        <f t="shared" si="17"/>
        <v>0</v>
      </c>
      <c r="G67" s="175">
        <f t="shared" si="17"/>
        <v>0</v>
      </c>
      <c r="H67" s="175">
        <f t="shared" si="17"/>
        <v>0</v>
      </c>
      <c r="I67" s="175">
        <f t="shared" si="17"/>
        <v>0</v>
      </c>
      <c r="J67" s="175">
        <f t="shared" si="17"/>
        <v>0</v>
      </c>
      <c r="K67" s="175">
        <f t="shared" si="17"/>
        <v>0</v>
      </c>
      <c r="L67" s="175">
        <f t="shared" si="17"/>
        <v>0</v>
      </c>
      <c r="M67" s="175">
        <f t="shared" si="17"/>
        <v>0</v>
      </c>
      <c r="N67" s="175">
        <f t="shared" si="17"/>
        <v>0</v>
      </c>
      <c r="O67" s="175">
        <f t="shared" si="17"/>
        <v>0</v>
      </c>
      <c r="P67" s="175">
        <f t="shared" si="17"/>
        <v>0</v>
      </c>
    </row>
    <row r="68" spans="1:16" ht="16.5" thickTop="1" thickBot="1" x14ac:dyDescent="0.3">
      <c r="A68" s="11" t="s">
        <v>213</v>
      </c>
      <c r="B68" s="11"/>
      <c r="C68" s="175">
        <f>C15-C67</f>
        <v>3244.8100000000004</v>
      </c>
      <c r="D68" s="175">
        <f t="shared" ref="D68:P68" si="18">D15-D67</f>
        <v>2103.0700000000002</v>
      </c>
      <c r="E68" s="175">
        <f t="shared" si="18"/>
        <v>2103.0700000000002</v>
      </c>
      <c r="F68" s="175">
        <f t="shared" si="18"/>
        <v>2103.0700000000002</v>
      </c>
      <c r="G68" s="175">
        <f t="shared" si="18"/>
        <v>2103.0700000000002</v>
      </c>
      <c r="H68" s="175">
        <f t="shared" si="18"/>
        <v>2103.0700000000002</v>
      </c>
      <c r="I68" s="175">
        <f t="shared" si="18"/>
        <v>2103.0700000000002</v>
      </c>
      <c r="J68" s="175">
        <f t="shared" si="18"/>
        <v>2103.0700000000002</v>
      </c>
      <c r="K68" s="175">
        <f t="shared" si="18"/>
        <v>2103.0700000000002</v>
      </c>
      <c r="L68" s="175">
        <f t="shared" si="18"/>
        <v>2103.0700000000002</v>
      </c>
      <c r="M68" s="175">
        <f t="shared" si="18"/>
        <v>2103.0700000000002</v>
      </c>
      <c r="N68" s="175">
        <f t="shared" si="18"/>
        <v>2103.0700000000002</v>
      </c>
      <c r="O68" s="175">
        <f t="shared" si="18"/>
        <v>2103.0700000000002</v>
      </c>
      <c r="P68" s="175">
        <f t="shared" si="18"/>
        <v>28481.649999999998</v>
      </c>
    </row>
    <row r="69" spans="1:16" ht="15.75" thickTop="1" x14ac:dyDescent="0.25"/>
  </sheetData>
  <sheetProtection algorithmName="SHA-512" hashValue="ULOJiGOUR4H1S173Rmn8C/bw8p8Am/CtcgH2JMCPlmzGeoGYL6Q1rUV0AKVqRHlVBbZRcNyQg9I8D5svNWQA+w==" saltValue="jUdSfnOi8rB0ZxVl8FmMaQ==" spinCount="100000" sheet="1" objects="1" scenarios="1"/>
  <mergeCells count="2">
    <mergeCell ref="A3:B4"/>
    <mergeCell ref="C3:C4"/>
  </mergeCells>
  <printOptions gridLines="1"/>
  <pageMargins left="0.25" right="0.25" top="0.75" bottom="0.75" header="0.3" footer="0.3"/>
  <pageSetup paperSize="5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33"/>
  <sheetViews>
    <sheetView zoomScale="64" zoomScaleNormal="64" workbookViewId="0">
      <selection activeCell="P45" sqref="P45"/>
    </sheetView>
  </sheetViews>
  <sheetFormatPr defaultColWidth="9.140625" defaultRowHeight="15" outlineLevelRow="1" outlineLevelCol="1" x14ac:dyDescent="0.25"/>
  <cols>
    <col min="1" max="1" width="1.5703125" style="1" customWidth="1"/>
    <col min="2" max="2" width="46.85546875" style="1" customWidth="1"/>
    <col min="3" max="4" width="14.85546875" style="1" customWidth="1"/>
    <col min="5" max="5" width="23" style="1" customWidth="1"/>
    <col min="6" max="6" width="64.28515625" style="1" customWidth="1"/>
    <col min="7" max="7" width="39.28515625" style="1" customWidth="1"/>
    <col min="8" max="8" width="1.85546875" style="1" customWidth="1"/>
    <col min="9" max="9" width="13.7109375" style="1" hidden="1" customWidth="1" outlineLevel="1"/>
    <col min="10" max="10" width="24.5703125" style="1" hidden="1" customWidth="1" outlineLevel="1"/>
    <col min="11" max="11" width="13.7109375" style="1" hidden="1" customWidth="1" outlineLevel="1"/>
    <col min="12" max="12" width="24.5703125" style="1" hidden="1" customWidth="1" outlineLevel="1"/>
    <col min="13" max="13" width="13.7109375" style="1" hidden="1" customWidth="1" outlineLevel="1"/>
    <col min="14" max="14" width="24.5703125" style="1" hidden="1" customWidth="1" outlineLevel="1"/>
    <col min="15" max="15" width="1.85546875" style="1" customWidth="1" collapsed="1"/>
    <col min="16" max="16" width="15" style="1" customWidth="1"/>
    <col min="17" max="19" width="9.140625" style="1"/>
    <col min="20" max="20" width="12.140625" style="1" customWidth="1"/>
    <col min="21" max="16384" width="9.140625" style="1"/>
  </cols>
  <sheetData>
    <row r="1" spans="1:16" s="69" customFormat="1" ht="43.5" customHeight="1" x14ac:dyDescent="0.25">
      <c r="A1" s="67" t="s">
        <v>217</v>
      </c>
      <c r="B1" s="52"/>
      <c r="C1" s="52"/>
      <c r="D1" s="52"/>
      <c r="E1" s="52"/>
      <c r="F1" s="52"/>
      <c r="G1" s="68"/>
      <c r="I1" s="395" t="s">
        <v>218</v>
      </c>
      <c r="J1" s="396"/>
      <c r="K1" s="396"/>
      <c r="L1" s="396"/>
      <c r="M1" s="396"/>
      <c r="N1" s="397"/>
    </row>
    <row r="2" spans="1:16" ht="4.5" customHeight="1" x14ac:dyDescent="0.25"/>
    <row r="3" spans="1:16" ht="39" customHeight="1" x14ac:dyDescent="0.25">
      <c r="A3" s="57"/>
      <c r="B3" s="13"/>
      <c r="C3" s="33" t="s">
        <v>219</v>
      </c>
      <c r="D3" s="33" t="s">
        <v>220</v>
      </c>
      <c r="E3" s="33" t="s">
        <v>221</v>
      </c>
      <c r="F3" s="33" t="s">
        <v>28</v>
      </c>
      <c r="G3" s="33" t="s">
        <v>222</v>
      </c>
      <c r="I3" s="398" t="s">
        <v>223</v>
      </c>
      <c r="J3" s="399"/>
      <c r="K3" s="398" t="s">
        <v>224</v>
      </c>
      <c r="L3" s="399"/>
      <c r="M3" s="398" t="s">
        <v>225</v>
      </c>
      <c r="N3" s="399"/>
      <c r="P3" s="88" t="s">
        <v>160</v>
      </c>
    </row>
    <row r="4" spans="1:16" ht="22.5" customHeight="1" x14ac:dyDescent="0.25">
      <c r="A4" s="70" t="s">
        <v>226</v>
      </c>
      <c r="C4" s="87">
        <f>'Summary Report'!G7</f>
        <v>1</v>
      </c>
      <c r="G4" s="60"/>
      <c r="I4" s="57"/>
      <c r="J4" s="58"/>
      <c r="K4" s="57"/>
      <c r="L4" s="58"/>
      <c r="M4" s="57"/>
      <c r="N4" s="58"/>
      <c r="P4" s="31" t="s">
        <v>227</v>
      </c>
    </row>
    <row r="5" spans="1:16" ht="22.5" customHeight="1" x14ac:dyDescent="0.25">
      <c r="A5" s="70" t="s">
        <v>228</v>
      </c>
      <c r="C5" s="87">
        <f>'Summary Report'!G8</f>
        <v>0</v>
      </c>
      <c r="G5" s="60"/>
      <c r="I5" s="57"/>
      <c r="J5" s="58"/>
      <c r="K5" s="57"/>
      <c r="L5" s="58"/>
      <c r="M5" s="57"/>
      <c r="N5" s="58"/>
      <c r="P5" s="56" t="s">
        <v>229</v>
      </c>
    </row>
    <row r="6" spans="1:16" ht="22.5" customHeight="1" x14ac:dyDescent="0.25">
      <c r="A6" s="70" t="s">
        <v>230</v>
      </c>
      <c r="C6" s="66">
        <f>'User Input Sheet'!H55</f>
        <v>28481.65</v>
      </c>
      <c r="G6" s="60"/>
      <c r="I6" s="400">
        <f>VLOOKUP($C$4,'[1]In-Kind Donation Table'!$A$1:$M$15,11)</f>
        <v>0.47619047619047616</v>
      </c>
      <c r="J6" s="401"/>
      <c r="K6" s="400">
        <f>VLOOKUP($C$4,'[1]In-Kind Donation Table'!$A$1:$M$15,12)</f>
        <v>3.968253968253968E-2</v>
      </c>
      <c r="L6" s="401"/>
      <c r="M6" s="400">
        <f>VLOOKUP($C$4,'[1]In-Kind Donation Table'!$A$1:$M$15,13)</f>
        <v>0.11904761904761904</v>
      </c>
      <c r="N6" s="401"/>
    </row>
    <row r="7" spans="1:16" ht="22.5" customHeight="1" x14ac:dyDescent="0.25">
      <c r="A7" s="70" t="s">
        <v>231</v>
      </c>
      <c r="G7" s="60"/>
      <c r="I7" s="59"/>
      <c r="J7" s="60"/>
      <c r="K7" s="59"/>
      <c r="L7" s="60"/>
      <c r="M7" s="59"/>
      <c r="N7" s="60"/>
    </row>
    <row r="8" spans="1:16" ht="22.5" customHeight="1" x14ac:dyDescent="0.25">
      <c r="A8" s="59"/>
      <c r="B8" s="1" t="s">
        <v>232</v>
      </c>
      <c r="D8" s="71">
        <f>(Budget!P27+Budget!P47+Budget!P52+Budget!P53)-'User Input Sheet'!H55</f>
        <v>-28481.65</v>
      </c>
      <c r="E8" s="72">
        <f>(Budget!P27+Budget!P47+Budget!P52+Budget!P53)/'Variance to RAP Guidelines'!$C$6</f>
        <v>0</v>
      </c>
      <c r="F8" s="154" t="s">
        <v>233</v>
      </c>
      <c r="G8" s="63" t="str">
        <f>IF(D8&gt;0,"Support Exceeds IRCC Guideline","Support is Below IRCC Guideline")</f>
        <v>Support is Below IRCC Guideline</v>
      </c>
      <c r="I8" s="61">
        <f>[1]Budget!P6/'Variance to RAP Guidelines'!$C$6</f>
        <v>0</v>
      </c>
      <c r="J8" s="63" t="str">
        <f>IF(I8&gt;$I$6,"Value Exceeds Guideline", "Within Guideline")</f>
        <v>Within Guideline</v>
      </c>
      <c r="K8" s="61">
        <f>[1]Budget!P10/'Variance to RAP Guidelines'!$C$6</f>
        <v>0</v>
      </c>
      <c r="L8" s="63" t="str">
        <f>IF(K8&gt;$K$6,"Value Exceeds Guideline", "Within Guideline")</f>
        <v>Within Guideline</v>
      </c>
      <c r="M8" s="61">
        <f>[1]Budget!P8/'Variance to RAP Guidelines'!$C$6</f>
        <v>0</v>
      </c>
      <c r="N8" s="63" t="str">
        <f>IF(M8&gt;$M$6,"Value Exceeds Guideline", "Within Guideline")</f>
        <v>Within Guideline</v>
      </c>
    </row>
    <row r="9" spans="1:16" ht="22.5" customHeight="1" x14ac:dyDescent="0.25">
      <c r="A9" s="59"/>
      <c r="B9" s="1" t="s">
        <v>234</v>
      </c>
      <c r="D9" s="71">
        <f>Budget!P15-'User Input Sheet'!H55</f>
        <v>0</v>
      </c>
      <c r="E9" s="72">
        <f>Budget!P15/'Variance to RAP Guidelines'!$C$6</f>
        <v>0.99999999999999989</v>
      </c>
      <c r="F9" s="154" t="s">
        <v>235</v>
      </c>
      <c r="G9" s="63" t="str">
        <f>IF(D9&gt;0,"Value Exceeds IRCC Guideline","Within IRCC Guideline")</f>
        <v>Within IRCC Guideline</v>
      </c>
      <c r="I9" s="61"/>
      <c r="J9" s="63"/>
      <c r="K9" s="61"/>
      <c r="L9" s="63"/>
      <c r="M9" s="61"/>
      <c r="N9" s="63"/>
    </row>
    <row r="10" spans="1:16" ht="22.5" customHeight="1" x14ac:dyDescent="0.25">
      <c r="A10" s="70" t="s">
        <v>216</v>
      </c>
      <c r="D10" s="73"/>
      <c r="E10" s="73"/>
      <c r="F10" s="73"/>
      <c r="G10" s="60"/>
      <c r="I10" s="59"/>
      <c r="J10" s="64"/>
      <c r="K10" s="59"/>
      <c r="L10" s="64"/>
      <c r="M10" s="59"/>
      <c r="N10" s="64"/>
    </row>
    <row r="11" spans="1:16" ht="22.5" customHeight="1" x14ac:dyDescent="0.25">
      <c r="A11" s="59"/>
      <c r="B11" s="1" t="s">
        <v>236</v>
      </c>
      <c r="D11" s="71">
        <f>('FY Projection'!P27+'FY Projection'!P47+'FY Projection'!P52+'FY Projection'!P53)-'User Input Sheet'!H55</f>
        <v>-28481.65</v>
      </c>
      <c r="E11" s="72">
        <f>('FY Projection'!P27+'FY Projection'!P47+'FY Projection'!P52+'FY Projection'!P53)/'Variance to RAP Guidelines'!$C$6</f>
        <v>0</v>
      </c>
      <c r="F11" s="154" t="s">
        <v>233</v>
      </c>
      <c r="G11" s="63" t="str">
        <f>IF(D11&gt;0,"Support Exceeds IRCC Guideline","Support is Below IRCC Guideline")</f>
        <v>Support is Below IRCC Guideline</v>
      </c>
      <c r="I11" s="61">
        <f>[1]Actuals!P6/'Variance to RAP Guidelines'!$C$6</f>
        <v>0</v>
      </c>
      <c r="J11" s="63" t="str">
        <f>IF(I11&gt;$I$6,"Value Exceeds Guideline", "Within Guideline")</f>
        <v>Within Guideline</v>
      </c>
      <c r="K11" s="61">
        <f>[1]Actuals!P10/'Variance to RAP Guidelines'!$C$6</f>
        <v>0</v>
      </c>
      <c r="L11" s="63" t="str">
        <f>IF(K11&gt;$K$6,"Value Exceeds Guideline", "Within Guideline")</f>
        <v>Within Guideline</v>
      </c>
      <c r="M11" s="61">
        <f>[1]Actuals!P8/'Variance to RAP Guidelines'!$C$6</f>
        <v>0</v>
      </c>
      <c r="N11" s="63" t="str">
        <f>IF(M11&gt;$M$6,"Value Exceeds Guideline", "Within Guideline")</f>
        <v>Within Guideline</v>
      </c>
    </row>
    <row r="12" spans="1:16" ht="22.5" customHeight="1" x14ac:dyDescent="0.25">
      <c r="A12" s="59"/>
      <c r="B12" s="1" t="s">
        <v>237</v>
      </c>
      <c r="D12" s="71">
        <f>'FY Projection'!P15-'Variance to RAP Guidelines'!$C$6</f>
        <v>0</v>
      </c>
      <c r="E12" s="72">
        <f>'FY Projection'!P15/'Variance to RAP Guidelines'!$C$6</f>
        <v>0.99999999999999989</v>
      </c>
      <c r="F12" s="154" t="s">
        <v>235</v>
      </c>
      <c r="G12" s="63" t="str">
        <f>IF(D12&gt;0,"Value Exceeds IRCC Guideline","Within IRCC Guideline")</f>
        <v>Within IRCC Guideline</v>
      </c>
      <c r="I12" s="59"/>
      <c r="J12" s="64"/>
      <c r="K12" s="59"/>
      <c r="L12" s="64"/>
      <c r="M12" s="59"/>
      <c r="N12" s="64"/>
    </row>
    <row r="14" spans="1:16" ht="46.5" hidden="1" customHeight="1" outlineLevel="1" x14ac:dyDescent="0.25">
      <c r="A14" s="67" t="s">
        <v>238</v>
      </c>
      <c r="B14" s="32"/>
      <c r="C14" s="32"/>
      <c r="D14" s="32"/>
      <c r="E14" s="32"/>
      <c r="F14" s="32"/>
      <c r="G14" s="30"/>
    </row>
    <row r="15" spans="1:16" ht="4.5" hidden="1" customHeight="1" outlineLevel="1" x14ac:dyDescent="0.25"/>
    <row r="16" spans="1:16" ht="45" hidden="1" outlineLevel="1" x14ac:dyDescent="0.25">
      <c r="A16" s="39" t="s">
        <v>239</v>
      </c>
      <c r="B16" s="40"/>
      <c r="C16" s="33" t="s">
        <v>240</v>
      </c>
      <c r="D16" s="33" t="s">
        <v>241</v>
      </c>
      <c r="E16" s="33" t="s">
        <v>242</v>
      </c>
      <c r="F16" s="33"/>
      <c r="G16" s="33" t="s">
        <v>222</v>
      </c>
    </row>
    <row r="17" spans="1:7" hidden="1" outlineLevel="1" x14ac:dyDescent="0.25">
      <c r="A17" s="59"/>
      <c r="B17" s="1" t="s">
        <v>128</v>
      </c>
      <c r="C17" s="71">
        <f>VLOOKUP($C$4,'[1]In-Kind Donation Table'!$A$4:$F$13,2)</f>
        <v>6000</v>
      </c>
      <c r="D17" s="71">
        <f>[1]Budget!$P$17-'Variance to RAP Guidelines'!$C$17</f>
        <v>-6000</v>
      </c>
      <c r="E17" s="72">
        <f>[1]Budget!$P$17/'Variance to RAP Guidelines'!$C$17</f>
        <v>0</v>
      </c>
      <c r="F17" s="72"/>
      <c r="G17" s="63" t="str">
        <f>IF(D17&gt;0,"Value Exceeds IRCC Guideline","Within IRCC Guideline")</f>
        <v>Within IRCC Guideline</v>
      </c>
    </row>
    <row r="18" spans="1:7" hidden="1" outlineLevel="1" x14ac:dyDescent="0.25">
      <c r="A18" s="59"/>
      <c r="B18" s="1" t="s">
        <v>129</v>
      </c>
      <c r="C18" s="71">
        <f>VLOOKUP($C$4,'[1]In-Kind Donation Table'!$A$4:$F$13,3)</f>
        <v>500</v>
      </c>
      <c r="D18" s="71">
        <f>[1]Budget!$P$21-'Variance to RAP Guidelines'!$C$18</f>
        <v>-500</v>
      </c>
      <c r="E18" s="72">
        <f>[1]Budget!$P$22/'Variance to RAP Guidelines'!$C$18</f>
        <v>0</v>
      </c>
      <c r="F18" s="72"/>
      <c r="G18" s="63" t="str">
        <f>IF(D18&gt;0,"Value Exceeds IRCC Guideline","Within IRCC Guideline")</f>
        <v>Within IRCC Guideline</v>
      </c>
    </row>
    <row r="19" spans="1:7" hidden="1" outlineLevel="1" x14ac:dyDescent="0.25">
      <c r="A19" s="75"/>
      <c r="B19" s="76" t="s">
        <v>130</v>
      </c>
      <c r="C19" s="77">
        <f>VLOOKUP($C$4,'[1]In-Kind Donation Table'!$A$4:$F$13,4)</f>
        <v>1500</v>
      </c>
      <c r="D19" s="77">
        <f>[1]Budget!$P$19-'Variance to RAP Guidelines'!$C$19</f>
        <v>-1500</v>
      </c>
      <c r="E19" s="78">
        <f>[1]Budget!$P$23/'Variance to RAP Guidelines'!$C$19</f>
        <v>0</v>
      </c>
      <c r="F19" s="78"/>
      <c r="G19" s="65" t="str">
        <f>IF(D19&gt;0,"Value Exceeds IRCC Guideline","Within IRCC Guideline")</f>
        <v>Within IRCC Guideline</v>
      </c>
    </row>
    <row r="20" spans="1:7" collapsed="1" x14ac:dyDescent="0.25"/>
    <row r="21" spans="1:7" ht="40.5" customHeight="1" x14ac:dyDescent="0.25">
      <c r="A21" s="67" t="s">
        <v>243</v>
      </c>
      <c r="B21" s="32"/>
      <c r="C21" s="32"/>
      <c r="D21" s="32"/>
      <c r="E21" s="32"/>
      <c r="F21" s="32"/>
      <c r="G21" s="30"/>
    </row>
    <row r="22" spans="1:7" ht="2.25" customHeight="1" x14ac:dyDescent="0.25"/>
    <row r="23" spans="1:7" ht="42" customHeight="1" x14ac:dyDescent="0.25">
      <c r="A23" s="41" t="s">
        <v>244</v>
      </c>
      <c r="B23" s="42"/>
      <c r="C23" s="33" t="s">
        <v>231</v>
      </c>
      <c r="D23" s="33" t="s">
        <v>245</v>
      </c>
      <c r="E23" s="33" t="s">
        <v>246</v>
      </c>
      <c r="F23" s="33" t="s">
        <v>247</v>
      </c>
      <c r="G23" s="33" t="s">
        <v>222</v>
      </c>
    </row>
    <row r="24" spans="1:7" ht="24.75" customHeight="1" x14ac:dyDescent="0.25">
      <c r="A24" s="59"/>
      <c r="B24" s="1" t="s">
        <v>248</v>
      </c>
      <c r="C24" s="79">
        <f>Budget!P27</f>
        <v>0</v>
      </c>
      <c r="D24" s="79">
        <f>'FY Projection'!P27</f>
        <v>0</v>
      </c>
      <c r="E24" s="79">
        <f>D24-C24</f>
        <v>0</v>
      </c>
      <c r="F24" s="72" t="str">
        <f>IF(C24&gt;0,D24/C24,"")</f>
        <v/>
      </c>
      <c r="G24" s="63" t="str">
        <f>IF(E24&gt;0,"Projection is Better than Budget","Projection is below Budget")</f>
        <v>Projection is below Budget</v>
      </c>
    </row>
    <row r="25" spans="1:7" ht="24.75" customHeight="1" x14ac:dyDescent="0.25">
      <c r="A25" s="59"/>
      <c r="B25" s="1" t="s">
        <v>249</v>
      </c>
      <c r="C25" s="79">
        <f>Budget!P47</f>
        <v>0</v>
      </c>
      <c r="D25" s="79">
        <f>'FY Projection'!P47</f>
        <v>0</v>
      </c>
      <c r="E25" s="79">
        <f>D25-C25</f>
        <v>0</v>
      </c>
      <c r="F25" s="72" t="str">
        <f t="shared" ref="F25:F27" si="0">IF(C25&gt;0,D25/C25,"")</f>
        <v/>
      </c>
      <c r="G25" s="63" t="str">
        <f>IF(E25&gt;0,"Projection is Better than Budget","Projection is below Budget")</f>
        <v>Projection is below Budget</v>
      </c>
    </row>
    <row r="26" spans="1:7" ht="24.75" customHeight="1" x14ac:dyDescent="0.25">
      <c r="A26" s="59"/>
      <c r="B26" s="1" t="s">
        <v>250</v>
      </c>
      <c r="C26" s="79">
        <f>Budget!P52</f>
        <v>0</v>
      </c>
      <c r="D26" s="79">
        <f>'FY Projection'!P52</f>
        <v>0</v>
      </c>
      <c r="E26" s="79">
        <f t="shared" ref="E26:E27" si="1">D26-C26</f>
        <v>0</v>
      </c>
      <c r="F26" s="72" t="str">
        <f t="shared" si="0"/>
        <v/>
      </c>
      <c r="G26" s="63" t="str">
        <f>IF(E26&gt;0,"Projection Exceeds Budget","Projection within Budget")</f>
        <v>Projection within Budget</v>
      </c>
    </row>
    <row r="27" spans="1:7" ht="24.75" customHeight="1" x14ac:dyDescent="0.25">
      <c r="A27" s="59"/>
      <c r="B27" s="1" t="s">
        <v>251</v>
      </c>
      <c r="C27" s="79">
        <f>Budget!P53</f>
        <v>0</v>
      </c>
      <c r="D27" s="79">
        <f>'FY Projection'!P53</f>
        <v>0</v>
      </c>
      <c r="E27" s="79">
        <f t="shared" si="1"/>
        <v>0</v>
      </c>
      <c r="F27" s="72" t="str">
        <f t="shared" si="0"/>
        <v/>
      </c>
      <c r="G27" s="63" t="str">
        <f>IF(E27&gt;0,"Projection Exceeds Budget","Projection within Budget")</f>
        <v>Projection within Budget</v>
      </c>
    </row>
    <row r="28" spans="1:7" ht="24.75" customHeight="1" x14ac:dyDescent="0.25">
      <c r="A28" s="59"/>
      <c r="B28" s="1" t="s">
        <v>194</v>
      </c>
      <c r="C28" s="79">
        <f>Budget!P54</f>
        <v>0</v>
      </c>
      <c r="D28" s="79">
        <f>'FY Projection'!P54</f>
        <v>0</v>
      </c>
      <c r="E28" s="79">
        <f t="shared" ref="E28" si="2">D28-C28</f>
        <v>0</v>
      </c>
      <c r="F28" s="72" t="str">
        <f t="shared" ref="F28" si="3">IF(C28&gt;0,D28/C28,"")</f>
        <v/>
      </c>
      <c r="G28" s="63" t="str">
        <f>IF(E28&gt;0,"Projection Exceeds Budget","Projection within Budget")</f>
        <v>Projection within Budget</v>
      </c>
    </row>
    <row r="29" spans="1:7" ht="24.75" customHeight="1" thickBot="1" x14ac:dyDescent="0.3">
      <c r="A29" s="80" t="s">
        <v>252</v>
      </c>
      <c r="B29" s="10"/>
      <c r="C29" s="18">
        <f>SUM(C24:C27)</f>
        <v>0</v>
      </c>
      <c r="D29" s="18">
        <f t="shared" ref="D29:E29" si="4">SUM(D24:D27)</f>
        <v>0</v>
      </c>
      <c r="E29" s="83">
        <f t="shared" si="4"/>
        <v>0</v>
      </c>
      <c r="F29" s="189" t="str">
        <f>IF(C29&gt;0,D29/C29,"")</f>
        <v/>
      </c>
      <c r="G29" s="190" t="str">
        <f>IF(D29&lt;=C6,"Support is Below IRCC Guideline","Support Exceeds IRCC Guideline")</f>
        <v>Support is Below IRCC Guideline</v>
      </c>
    </row>
    <row r="30" spans="1:7" ht="15.75" thickTop="1" x14ac:dyDescent="0.25"/>
    <row r="31" spans="1:7" x14ac:dyDescent="0.25">
      <c r="C31" s="89"/>
      <c r="D31" s="89"/>
      <c r="E31" s="89"/>
      <c r="F31" s="89"/>
    </row>
    <row r="32" spans="1:7" x14ac:dyDescent="0.25">
      <c r="C32" s="51"/>
      <c r="D32" s="51"/>
      <c r="E32" s="51"/>
      <c r="F32" s="51"/>
      <c r="G32" s="73"/>
    </row>
    <row r="33" spans="3:6" x14ac:dyDescent="0.25">
      <c r="C33" s="51"/>
      <c r="D33" s="51"/>
      <c r="E33" s="51"/>
      <c r="F33" s="51"/>
    </row>
  </sheetData>
  <sheetProtection algorithmName="SHA-512" hashValue="Rr5wjXpnVMNdegf8IFrNRarSVaENRy6pCBjJpHznRnNwDbPgSJa7asd/G3Uftq63jHG4OsaC5gMy3auxDNl2gg==" saltValue="rYXzyE56imwL0BFXpcSp7A==" spinCount="100000" sheet="1" objects="1" scenarios="1"/>
  <mergeCells count="7">
    <mergeCell ref="I1:N1"/>
    <mergeCell ref="I3:J3"/>
    <mergeCell ref="K3:L3"/>
    <mergeCell ref="M3:N3"/>
    <mergeCell ref="I6:J6"/>
    <mergeCell ref="K6:L6"/>
    <mergeCell ref="M6:N6"/>
  </mergeCells>
  <conditionalFormatting sqref="C28:E28">
    <cfRule type="cellIs" dxfId="7" priority="1" operator="lessThan">
      <formula>0</formula>
    </cfRule>
  </conditionalFormatting>
  <conditionalFormatting sqref="D8">
    <cfRule type="cellIs" dxfId="6" priority="7" operator="lessThan">
      <formula>-16232</formula>
    </cfRule>
    <cfRule type="cellIs" dxfId="5" priority="8" operator="lessThan">
      <formula>-16232</formula>
    </cfRule>
    <cfRule type="cellIs" dxfId="4" priority="9" operator="lessThan">
      <formula>0</formula>
    </cfRule>
  </conditionalFormatting>
  <conditionalFormatting sqref="D9">
    <cfRule type="cellIs" dxfId="3" priority="6" operator="lessThan">
      <formula>0</formula>
    </cfRule>
  </conditionalFormatting>
  <conditionalFormatting sqref="D11:D12">
    <cfRule type="cellIs" dxfId="2" priority="4" operator="lessThan">
      <formula>0</formula>
    </cfRule>
  </conditionalFormatting>
  <conditionalFormatting sqref="G8:G9">
    <cfRule type="cellIs" dxfId="1" priority="10" operator="greaterThan">
      <formula>$D$8&gt;0</formula>
    </cfRule>
  </conditionalFormatting>
  <pageMargins left="0.7" right="0.7" top="0.75" bottom="0.75" header="0.3" footer="0.3"/>
  <pageSetup scale="5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3"/>
  <sheetViews>
    <sheetView zoomScale="69" zoomScaleNormal="69" workbookViewId="0">
      <selection activeCell="F7" sqref="F7"/>
    </sheetView>
  </sheetViews>
  <sheetFormatPr defaultColWidth="9.140625" defaultRowHeight="15" x14ac:dyDescent="0.25"/>
  <cols>
    <col min="1" max="1" width="1.5703125" style="1" customWidth="1"/>
    <col min="2" max="2" width="49.140625" style="1" customWidth="1"/>
    <col min="3" max="4" width="13.7109375" style="1" customWidth="1"/>
    <col min="5" max="5" width="23" style="1" customWidth="1"/>
    <col min="6" max="6" width="31.42578125" style="1" bestFit="1" customWidth="1"/>
    <col min="7" max="7" width="1.85546875" style="1" customWidth="1"/>
    <col min="8" max="8" width="13.7109375" style="1" customWidth="1"/>
    <col min="9" max="9" width="24.5703125" style="1" customWidth="1"/>
    <col min="10" max="10" width="13.7109375" style="1" customWidth="1"/>
    <col min="11" max="11" width="24.5703125" style="1" customWidth="1"/>
    <col min="12" max="12" width="13.7109375" style="1" customWidth="1"/>
    <col min="13" max="13" width="24.5703125" style="1" customWidth="1"/>
    <col min="14" max="14" width="1.85546875" style="1" customWidth="1"/>
    <col min="15" max="15" width="15" style="1" customWidth="1"/>
    <col min="16" max="18" width="9.140625" style="1"/>
    <col min="19" max="19" width="12.140625" style="1" customWidth="1"/>
    <col min="20" max="16384" width="9.140625" style="1"/>
  </cols>
  <sheetData>
    <row r="1" spans="1:15" s="69" customFormat="1" ht="43.5" customHeight="1" x14ac:dyDescent="0.25">
      <c r="A1" s="67" t="s">
        <v>253</v>
      </c>
      <c r="B1" s="52"/>
      <c r="C1" s="52"/>
      <c r="D1" s="52"/>
      <c r="E1" s="52"/>
      <c r="F1" s="68"/>
      <c r="H1" s="395" t="s">
        <v>218</v>
      </c>
      <c r="I1" s="396"/>
      <c r="J1" s="396"/>
      <c r="K1" s="396"/>
      <c r="L1" s="396"/>
      <c r="M1" s="397"/>
    </row>
    <row r="2" spans="1:15" ht="4.5" customHeight="1" x14ac:dyDescent="0.25"/>
    <row r="3" spans="1:15" ht="39" customHeight="1" x14ac:dyDescent="0.25">
      <c r="A3" s="57"/>
      <c r="B3" s="13"/>
      <c r="C3" s="33" t="s">
        <v>219</v>
      </c>
      <c r="D3" s="33" t="s">
        <v>220</v>
      </c>
      <c r="E3" s="33" t="s">
        <v>221</v>
      </c>
      <c r="F3" s="33" t="s">
        <v>222</v>
      </c>
      <c r="H3" s="398" t="s">
        <v>223</v>
      </c>
      <c r="I3" s="399"/>
      <c r="J3" s="398" t="s">
        <v>224</v>
      </c>
      <c r="K3" s="399"/>
      <c r="L3" s="398" t="s">
        <v>225</v>
      </c>
      <c r="M3" s="399"/>
      <c r="O3" s="88" t="s">
        <v>160</v>
      </c>
    </row>
    <row r="4" spans="1:15" ht="18.75" x14ac:dyDescent="0.25">
      <c r="A4" s="70" t="s">
        <v>85</v>
      </c>
      <c r="C4" s="87">
        <f>'User Input Sheet'!C7</f>
        <v>1</v>
      </c>
      <c r="F4" s="60"/>
      <c r="H4" s="57"/>
      <c r="I4" s="58"/>
      <c r="J4" s="57"/>
      <c r="K4" s="58"/>
      <c r="L4" s="57"/>
      <c r="M4" s="58"/>
      <c r="O4" s="31" t="s">
        <v>227</v>
      </c>
    </row>
    <row r="5" spans="1:15" ht="18.75" x14ac:dyDescent="0.25">
      <c r="A5" s="70" t="s">
        <v>254</v>
      </c>
      <c r="C5" s="66" t="e">
        <f>VLOOKUP(C4,#REF!,4)</f>
        <v>#REF!</v>
      </c>
      <c r="F5" s="60"/>
      <c r="H5" s="400" t="e">
        <f>VLOOKUP($C$4,#REF!,11)</f>
        <v>#REF!</v>
      </c>
      <c r="I5" s="401"/>
      <c r="J5" s="400" t="e">
        <f>VLOOKUP($C$4,#REF!,12)</f>
        <v>#REF!</v>
      </c>
      <c r="K5" s="401"/>
      <c r="L5" s="400" t="e">
        <f>VLOOKUP($C$4,#REF!,13)</f>
        <v>#REF!</v>
      </c>
      <c r="M5" s="401"/>
      <c r="O5" s="56" t="s">
        <v>229</v>
      </c>
    </row>
    <row r="6" spans="1:15" ht="18.75" x14ac:dyDescent="0.25">
      <c r="A6" s="70" t="s">
        <v>231</v>
      </c>
      <c r="F6" s="60"/>
      <c r="H6" s="59"/>
      <c r="I6" s="60"/>
      <c r="J6" s="59"/>
      <c r="K6" s="60"/>
      <c r="L6" s="59"/>
      <c r="M6" s="60"/>
    </row>
    <row r="7" spans="1:15" x14ac:dyDescent="0.25">
      <c r="A7" s="59"/>
      <c r="B7" s="1" t="s">
        <v>255</v>
      </c>
      <c r="D7" s="71" t="e">
        <f>Budget!$P$15-'Variance to IRCC Guidelines '!$C$5</f>
        <v>#REF!</v>
      </c>
      <c r="E7" s="72" t="e">
        <f>Budget!$P$15/'Variance to IRCC Guidelines '!$C$5</f>
        <v>#REF!</v>
      </c>
      <c r="F7" s="63" t="e">
        <f>IF(D7&gt;0,"Value Exceeds IRCC Guideline","Within IRCC Guideline")</f>
        <v>#REF!</v>
      </c>
      <c r="H7" s="61" t="e">
        <f>Budget!P6/'Variance to IRCC Guidelines '!$C$5</f>
        <v>#REF!</v>
      </c>
      <c r="I7" s="63" t="e">
        <f>IF(H7&gt;$H$5,"Value Exceeds Guideline", "Within Guideline")</f>
        <v>#REF!</v>
      </c>
      <c r="J7" s="61" t="e">
        <f>Budget!P10/'Variance to IRCC Guidelines '!$C$5</f>
        <v>#REF!</v>
      </c>
      <c r="K7" s="63" t="e">
        <f>IF(J7&gt;$J$5,"Value Exceeds Guideline", "Within Guideline")</f>
        <v>#REF!</v>
      </c>
      <c r="L7" s="61" t="e">
        <f>Budget!P8/'Variance to IRCC Guidelines '!$C$5</f>
        <v>#REF!</v>
      </c>
      <c r="M7" s="63" t="e">
        <f>IF(L7&gt;$L$5,"Value Exceeds Guideline", "Within Guideline")</f>
        <v>#REF!</v>
      </c>
    </row>
    <row r="8" spans="1:15" x14ac:dyDescent="0.25">
      <c r="A8" s="59"/>
      <c r="B8" s="1" t="s">
        <v>256</v>
      </c>
      <c r="D8" s="71" t="e">
        <f>Budget!$P$39-'Variance to IRCC Guidelines '!$C$5</f>
        <v>#REF!</v>
      </c>
      <c r="E8" s="72" t="e">
        <f>Budget!$P$39/'Variance to IRCC Guidelines '!$C$5</f>
        <v>#REF!</v>
      </c>
      <c r="F8" s="63" t="e">
        <f>IF(D8&gt;0,"Value Exceeds IRCC Guideline","Within IRCC Guideline")</f>
        <v>#REF!</v>
      </c>
      <c r="H8" s="61" t="e">
        <f>Budget!P30/$C$5</f>
        <v>#REF!</v>
      </c>
      <c r="I8" s="63" t="e">
        <f>IF(H8&gt;$H$5,"Value Exceeds Guideline", "Within Guideline")</f>
        <v>#REF!</v>
      </c>
      <c r="J8" s="61" t="e">
        <f>Budget!P34/$C$5</f>
        <v>#REF!</v>
      </c>
      <c r="K8" s="63" t="e">
        <f>IF(J8&gt;$J$5,"Value Exceeds Guideline", "Within Guideline")</f>
        <v>#REF!</v>
      </c>
      <c r="L8" s="61" t="e">
        <f>Budget!P32/$C$5</f>
        <v>#REF!</v>
      </c>
      <c r="M8" s="63" t="e">
        <f>IF(L8&gt;$L$5,"Value Exceeds Guideline", "Within Guideline")</f>
        <v>#REF!</v>
      </c>
    </row>
    <row r="9" spans="1:15" ht="18.75" x14ac:dyDescent="0.25">
      <c r="A9" s="70" t="s">
        <v>211</v>
      </c>
      <c r="D9" s="73"/>
      <c r="E9" s="73"/>
      <c r="F9" s="60"/>
      <c r="H9" s="59"/>
      <c r="I9" s="64"/>
      <c r="J9" s="59"/>
      <c r="K9" s="64"/>
      <c r="L9" s="59"/>
      <c r="M9" s="64"/>
    </row>
    <row r="10" spans="1:15" x14ac:dyDescent="0.25">
      <c r="A10" s="59"/>
      <c r="B10" s="1" t="s">
        <v>257</v>
      </c>
      <c r="D10" s="71" t="e">
        <f>Actuals!$P$15-'Variance to IRCC Guidelines '!$C$5</f>
        <v>#REF!</v>
      </c>
      <c r="E10" s="72" t="e">
        <f>Actuals!$P$15/'Variance to IRCC Guidelines '!$C$5</f>
        <v>#REF!</v>
      </c>
      <c r="F10" s="63" t="e">
        <f>IF(D10&gt;0,"Value Exceeds IRCC Guideline","Within IRCC Guideline")</f>
        <v>#REF!</v>
      </c>
      <c r="H10" s="61" t="e">
        <f>Actuals!P6/'Variance to IRCC Guidelines '!$C$5</f>
        <v>#REF!</v>
      </c>
      <c r="I10" s="63" t="e">
        <f>IF(H10&gt;$H$5,"Value Exceeds Guideline", "Within Guideline")</f>
        <v>#REF!</v>
      </c>
      <c r="J10" s="61" t="e">
        <f>Actuals!P10/'Variance to IRCC Guidelines '!$C$5</f>
        <v>#REF!</v>
      </c>
      <c r="K10" s="63" t="e">
        <f>IF(J10&gt;$J$5,"Value Exceeds Guideline", "Within Guideline")</f>
        <v>#REF!</v>
      </c>
      <c r="L10" s="61" t="e">
        <f>Actuals!P8/'Variance to IRCC Guidelines '!$C$5</f>
        <v>#REF!</v>
      </c>
      <c r="M10" s="63" t="e">
        <f>IF(L10&gt;$L$5,"Value Exceeds Guideline", "Within Guideline")</f>
        <v>#REF!</v>
      </c>
    </row>
    <row r="11" spans="1:15" ht="18.75" x14ac:dyDescent="0.25">
      <c r="A11" s="70" t="s">
        <v>245</v>
      </c>
      <c r="D11" s="73"/>
      <c r="E11" s="74"/>
      <c r="F11" s="60"/>
      <c r="H11" s="59"/>
      <c r="I11" s="64"/>
      <c r="J11" s="59"/>
      <c r="K11" s="64"/>
      <c r="L11" s="59"/>
      <c r="M11" s="64"/>
    </row>
    <row r="12" spans="1:15" x14ac:dyDescent="0.25">
      <c r="A12" s="75"/>
      <c r="B12" s="76" t="s">
        <v>258</v>
      </c>
      <c r="C12" s="76"/>
      <c r="D12" s="77" t="e">
        <f>#REF!-'Variance to IRCC Guidelines '!$C$5</f>
        <v>#REF!</v>
      </c>
      <c r="E12" s="78" t="e">
        <f>#REF!/'Variance to IRCC Guidelines '!$C$5</f>
        <v>#REF!</v>
      </c>
      <c r="F12" s="65" t="e">
        <f>IF(D12&gt;0,"Value Exceeds IRCC Guideline","Within IRCC Guideline")</f>
        <v>#REF!</v>
      </c>
      <c r="H12" s="62" t="e">
        <f>#REF!/'Variance to IRCC Guidelines '!$C$5</f>
        <v>#REF!</v>
      </c>
      <c r="I12" s="65" t="e">
        <f>IF(H12&gt;$H$5,"Value Exceeds Guideline", "Within Guideline")</f>
        <v>#REF!</v>
      </c>
      <c r="J12" s="62" t="e">
        <f>#REF!/'Variance to IRCC Guidelines '!$C$5</f>
        <v>#REF!</v>
      </c>
      <c r="K12" s="65" t="e">
        <f>IF(J12&gt;$J$5,"Value Exceeds Guideline", "Within Guideline")</f>
        <v>#REF!</v>
      </c>
      <c r="L12" s="62" t="e">
        <f>#REF!/'Variance to IRCC Guidelines '!$C$5</f>
        <v>#REF!</v>
      </c>
      <c r="M12" s="65" t="e">
        <f>IF(L12&gt;$L$5,"Value Exceeds Guideline", "Within Guideline")</f>
        <v>#REF!</v>
      </c>
    </row>
    <row r="14" spans="1:15" ht="46.5" customHeight="1" x14ac:dyDescent="0.25">
      <c r="A14" s="67" t="s">
        <v>238</v>
      </c>
      <c r="B14" s="32"/>
      <c r="C14" s="32"/>
      <c r="D14" s="32"/>
      <c r="E14" s="32"/>
      <c r="F14" s="30"/>
    </row>
    <row r="15" spans="1:15" ht="4.5" customHeight="1" x14ac:dyDescent="0.25"/>
    <row r="16" spans="1:15" ht="45" x14ac:dyDescent="0.25">
      <c r="A16" s="39" t="s">
        <v>239</v>
      </c>
      <c r="B16" s="40"/>
      <c r="C16" s="33" t="s">
        <v>240</v>
      </c>
      <c r="D16" s="33" t="s">
        <v>241</v>
      </c>
      <c r="E16" s="33" t="s">
        <v>242</v>
      </c>
      <c r="F16" s="33" t="s">
        <v>222</v>
      </c>
    </row>
    <row r="17" spans="1:6" x14ac:dyDescent="0.25">
      <c r="A17" s="59"/>
      <c r="B17" s="1" t="s">
        <v>128</v>
      </c>
      <c r="C17" s="71" t="e">
        <f>VLOOKUP($C$4,#REF!,2)</f>
        <v>#REF!</v>
      </c>
      <c r="D17" s="71" t="e">
        <f>Budget!$P$18-'Variance to IRCC Guidelines '!$C$17</f>
        <v>#REF!</v>
      </c>
      <c r="E17" s="72" t="e">
        <f>Budget!$P$18/'Variance to IRCC Guidelines '!$C$17</f>
        <v>#REF!</v>
      </c>
      <c r="F17" s="63" t="e">
        <f>IF(D17&gt;0,"Value Exceeds IRCC Guideline","Within IRCC Guideline")</f>
        <v>#REF!</v>
      </c>
    </row>
    <row r="18" spans="1:6" x14ac:dyDescent="0.25">
      <c r="A18" s="59"/>
      <c r="B18" s="1" t="s">
        <v>129</v>
      </c>
      <c r="C18" s="71" t="e">
        <f>VLOOKUP($C$4,#REF!,3)</f>
        <v>#REF!</v>
      </c>
      <c r="D18" s="71" t="e">
        <f>Budget!$P$22-'Variance to IRCC Guidelines '!$C$18</f>
        <v>#REF!</v>
      </c>
      <c r="E18" s="72" t="e">
        <f>Budget!#REF!/'Variance to IRCC Guidelines '!$C$18</f>
        <v>#REF!</v>
      </c>
      <c r="F18" s="63" t="e">
        <f>IF(D18&gt;0,"Value Exceeds IRCC Guideline","Within IRCC Guideline")</f>
        <v>#REF!</v>
      </c>
    </row>
    <row r="19" spans="1:6" x14ac:dyDescent="0.25">
      <c r="A19" s="75"/>
      <c r="B19" s="76" t="s">
        <v>130</v>
      </c>
      <c r="C19" s="77" t="e">
        <f>VLOOKUP($C$4,#REF!,4)</f>
        <v>#REF!</v>
      </c>
      <c r="D19" s="77" t="e">
        <f>Budget!$P$20-'Variance to IRCC Guidelines '!$C$19</f>
        <v>#REF!</v>
      </c>
      <c r="E19" s="78" t="e">
        <f>Budget!#REF!/'Variance to IRCC Guidelines '!$C$19</f>
        <v>#REF!</v>
      </c>
      <c r="F19" s="65" t="e">
        <f>IF(D19&gt;0,"Value Exceeds IRCC Guideline","Within IRCC Guideline")</f>
        <v>#REF!</v>
      </c>
    </row>
    <row r="21" spans="1:6" ht="40.5" customHeight="1" x14ac:dyDescent="0.25">
      <c r="A21" s="67" t="s">
        <v>243</v>
      </c>
      <c r="B21" s="32"/>
      <c r="C21" s="32"/>
      <c r="D21" s="32"/>
      <c r="E21" s="32"/>
      <c r="F21" s="30"/>
    </row>
    <row r="22" spans="1:6" ht="2.25" customHeight="1" x14ac:dyDescent="0.25"/>
    <row r="23" spans="1:6" ht="25.5" customHeight="1" x14ac:dyDescent="0.25">
      <c r="A23" s="41" t="s">
        <v>244</v>
      </c>
      <c r="B23" s="42"/>
      <c r="C23" s="33" t="s">
        <v>231</v>
      </c>
      <c r="D23" s="33" t="s">
        <v>245</v>
      </c>
      <c r="E23" s="33" t="s">
        <v>211</v>
      </c>
      <c r="F23" s="33" t="s">
        <v>222</v>
      </c>
    </row>
    <row r="24" spans="1:6" x14ac:dyDescent="0.25">
      <c r="A24" s="59"/>
      <c r="B24" s="1" t="s">
        <v>249</v>
      </c>
      <c r="C24" s="79">
        <f>Budget!P47</f>
        <v>0</v>
      </c>
      <c r="D24" s="79" t="e">
        <f>#REF!</f>
        <v>#REF!</v>
      </c>
      <c r="E24" s="79">
        <f>Actuals!P27</f>
        <v>0</v>
      </c>
      <c r="F24" s="60"/>
    </row>
    <row r="25" spans="1:6" x14ac:dyDescent="0.25">
      <c r="A25" s="59"/>
      <c r="B25" s="1" t="s">
        <v>259</v>
      </c>
      <c r="C25" s="79">
        <f>Budget!P52</f>
        <v>0</v>
      </c>
      <c r="D25" s="79" t="e">
        <f>#REF!</f>
        <v>#REF!</v>
      </c>
      <c r="E25" s="79">
        <f>Actuals!P50</f>
        <v>0</v>
      </c>
      <c r="F25" s="60"/>
    </row>
    <row r="26" spans="1:6" x14ac:dyDescent="0.25">
      <c r="A26" s="59"/>
      <c r="B26" s="1" t="s">
        <v>193</v>
      </c>
      <c r="C26" s="79">
        <f>Budget!P53</f>
        <v>0</v>
      </c>
      <c r="D26" s="79" t="e">
        <f>#REF!</f>
        <v>#REF!</v>
      </c>
      <c r="E26" s="79">
        <f>Actuals!P51</f>
        <v>0</v>
      </c>
      <c r="F26" s="60"/>
    </row>
    <row r="27" spans="1:6" ht="15.75" thickBot="1" x14ac:dyDescent="0.3">
      <c r="A27" s="80" t="s">
        <v>252</v>
      </c>
      <c r="B27" s="10"/>
      <c r="C27" s="83">
        <f>SUM(C24:C26)</f>
        <v>0</v>
      </c>
      <c r="D27" s="83" t="e">
        <f>SUM(D24:D26)</f>
        <v>#REF!</v>
      </c>
      <c r="E27" s="83">
        <f>SUM(E24:E26)</f>
        <v>0</v>
      </c>
      <c r="F27" s="81"/>
    </row>
    <row r="28" spans="1:6" ht="15.75" thickTop="1" x14ac:dyDescent="0.25">
      <c r="A28" s="59"/>
      <c r="B28" s="1" t="s">
        <v>260</v>
      </c>
      <c r="C28" s="84" t="e">
        <f>Budget!#REF!</f>
        <v>#REF!</v>
      </c>
      <c r="D28" s="85" t="e">
        <f>#REF!</f>
        <v>#REF!</v>
      </c>
      <c r="E28" s="85" t="e">
        <f>Actuals!#REF!</f>
        <v>#REF!</v>
      </c>
      <c r="F28" s="60"/>
    </row>
    <row r="29" spans="1:6" x14ac:dyDescent="0.25">
      <c r="A29" s="35" t="s">
        <v>261</v>
      </c>
      <c r="B29" s="36"/>
      <c r="C29" s="86" t="e">
        <f>C27-C28</f>
        <v>#REF!</v>
      </c>
      <c r="D29" s="86" t="e">
        <f>D27-D28</f>
        <v>#REF!</v>
      </c>
      <c r="E29" s="86" t="e">
        <f>E27-E28</f>
        <v>#REF!</v>
      </c>
      <c r="F29" s="82"/>
    </row>
    <row r="31" spans="1:6" x14ac:dyDescent="0.25">
      <c r="B31" s="1" t="s">
        <v>262</v>
      </c>
      <c r="C31" s="89" t="e">
        <f>IF((C28&gt;C24),"Yes", "No")</f>
        <v>#REF!</v>
      </c>
      <c r="D31" s="89" t="e">
        <f>IF((D28&gt;D24),"Yes", "No")</f>
        <v>#REF!</v>
      </c>
      <c r="E31" s="89" t="e">
        <f>IF((E28&gt;E24),"Yes", "No")</f>
        <v>#REF!</v>
      </c>
    </row>
    <row r="32" spans="1:6" x14ac:dyDescent="0.25">
      <c r="B32" s="1" t="s">
        <v>263</v>
      </c>
      <c r="C32" s="51" t="e">
        <f>IF(C28&gt;$F$32, "Yes", "No")</f>
        <v>#REF!</v>
      </c>
      <c r="D32" s="51" t="e">
        <f>IF(D28&gt;$F$32, "Yes", "No")</f>
        <v>#REF!</v>
      </c>
      <c r="E32" s="51" t="e">
        <f>IF(E28&gt;$F$32, "Yes", "No")</f>
        <v>#REF!</v>
      </c>
      <c r="F32" s="73" t="e">
        <f>C5/4</f>
        <v>#REF!</v>
      </c>
    </row>
    <row r="33" spans="2:5" x14ac:dyDescent="0.25">
      <c r="B33" s="1" t="s">
        <v>264</v>
      </c>
      <c r="C33" s="51" t="e">
        <f>IF(C29&gt;$C$5,"Yes", "No")</f>
        <v>#REF!</v>
      </c>
      <c r="D33" s="51" t="e">
        <f t="shared" ref="D33:E33" si="0">IF(D29&gt;$C$5,"Yes", "No")</f>
        <v>#REF!</v>
      </c>
      <c r="E33" s="51" t="e">
        <f t="shared" si="0"/>
        <v>#REF!</v>
      </c>
    </row>
  </sheetData>
  <mergeCells count="7">
    <mergeCell ref="H1:M1"/>
    <mergeCell ref="H3:I3"/>
    <mergeCell ref="J3:K3"/>
    <mergeCell ref="L3:M3"/>
    <mergeCell ref="H5:I5"/>
    <mergeCell ref="J5:K5"/>
    <mergeCell ref="L5:M5"/>
  </mergeCells>
  <conditionalFormatting sqref="F7">
    <cfRule type="cellIs" dxfId="0" priority="1" operator="greaterThan">
      <formula>$D$7&gt;0</formula>
    </cfRule>
  </conditionalFormatting>
  <pageMargins left="0.7" right="0.7" top="0.75" bottom="0.75" header="0.3" footer="0.3"/>
  <pageSetup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43"/>
  <sheetViews>
    <sheetView workbookViewId="0">
      <selection activeCell="S7" sqref="S7"/>
    </sheetView>
  </sheetViews>
  <sheetFormatPr defaultRowHeight="15" x14ac:dyDescent="0.25"/>
  <cols>
    <col min="1" max="1" width="11.7109375" customWidth="1"/>
    <col min="2" max="2" width="18.7109375" style="92" customWidth="1"/>
    <col min="3" max="3" width="11.7109375" customWidth="1"/>
    <col min="4" max="4" width="11.28515625" customWidth="1"/>
    <col min="5" max="5" width="15.5703125" customWidth="1"/>
    <col min="6" max="6" width="12" style="101" customWidth="1"/>
    <col min="7" max="7" width="14" style="101" customWidth="1"/>
    <col min="8" max="8" width="12.140625" customWidth="1"/>
    <col min="9" max="10" width="19.42578125" customWidth="1"/>
    <col min="11" max="11" width="10.42578125" customWidth="1"/>
    <col min="12" max="12" width="11" customWidth="1"/>
  </cols>
  <sheetData>
    <row r="1" spans="1:15" ht="18.75" x14ac:dyDescent="0.3">
      <c r="A1" s="410" t="s">
        <v>265</v>
      </c>
      <c r="B1" s="404"/>
      <c r="C1" s="404"/>
      <c r="D1" s="404"/>
      <c r="E1" s="404"/>
      <c r="F1" s="404"/>
      <c r="G1" s="405"/>
      <c r="I1" s="24" t="s">
        <v>266</v>
      </c>
      <c r="J1" s="25"/>
      <c r="K1" s="25"/>
      <c r="L1" s="26"/>
    </row>
    <row r="2" spans="1:15" s="90" customFormat="1" ht="45.95" customHeight="1" x14ac:dyDescent="0.25">
      <c r="A2" s="412" t="s">
        <v>267</v>
      </c>
      <c r="B2" s="413"/>
      <c r="C2" s="413"/>
      <c r="D2" s="413"/>
      <c r="E2" s="413"/>
      <c r="F2" s="413"/>
      <c r="G2" s="414"/>
      <c r="I2" s="13"/>
      <c r="J2" s="13"/>
      <c r="K2" s="13"/>
      <c r="L2" s="13"/>
    </row>
    <row r="3" spans="1:15" s="90" customFormat="1" ht="8.25" customHeight="1" x14ac:dyDescent="0.3">
      <c r="A3" s="93"/>
      <c r="B3" s="94"/>
      <c r="E3" s="103"/>
      <c r="F3" s="104"/>
      <c r="G3" s="105"/>
      <c r="I3" s="1"/>
      <c r="J3" s="1"/>
      <c r="K3" s="1"/>
      <c r="L3" s="1"/>
    </row>
    <row r="4" spans="1:15" ht="48" x14ac:dyDescent="0.25">
      <c r="A4" s="95" t="s">
        <v>85</v>
      </c>
      <c r="B4" s="95" t="s">
        <v>268</v>
      </c>
      <c r="C4" s="95" t="s">
        <v>269</v>
      </c>
      <c r="D4" s="95" t="s">
        <v>270</v>
      </c>
      <c r="E4" s="99" t="s">
        <v>271</v>
      </c>
      <c r="F4" s="95" t="s">
        <v>272</v>
      </c>
      <c r="G4" s="95" t="s">
        <v>273</v>
      </c>
      <c r="I4" s="102" t="s">
        <v>85</v>
      </c>
      <c r="J4" s="102" t="s">
        <v>274</v>
      </c>
      <c r="K4" s="102" t="s">
        <v>87</v>
      </c>
      <c r="L4" s="102" t="s">
        <v>89</v>
      </c>
      <c r="N4" s="111" t="s">
        <v>275</v>
      </c>
      <c r="O4" s="102" t="s">
        <v>136</v>
      </c>
    </row>
    <row r="5" spans="1:15" x14ac:dyDescent="0.25">
      <c r="A5" s="97">
        <v>1</v>
      </c>
      <c r="B5" s="96" t="s">
        <v>117</v>
      </c>
      <c r="C5" s="98">
        <v>337</v>
      </c>
      <c r="D5" s="98">
        <v>384</v>
      </c>
      <c r="E5" s="100" t="s">
        <v>276</v>
      </c>
      <c r="F5" s="106">
        <f>C5+D5+30</f>
        <v>751</v>
      </c>
      <c r="G5" s="98">
        <f>F5*12</f>
        <v>9012</v>
      </c>
      <c r="H5" s="108" t="s">
        <v>116</v>
      </c>
      <c r="I5" s="27">
        <v>1</v>
      </c>
      <c r="J5" s="28">
        <f>L5-K5</f>
        <v>10700</v>
      </c>
      <c r="K5" s="28">
        <v>2800</v>
      </c>
      <c r="L5" s="28">
        <v>13500</v>
      </c>
      <c r="N5" t="str">
        <f>A5&amp;H5</f>
        <v>1Single</v>
      </c>
      <c r="O5" s="110">
        <f t="shared" ref="O5:O14" si="0">G5</f>
        <v>9012</v>
      </c>
    </row>
    <row r="6" spans="1:15" x14ac:dyDescent="0.25">
      <c r="A6" s="411">
        <v>2</v>
      </c>
      <c r="B6" s="96" t="s">
        <v>11</v>
      </c>
      <c r="C6" s="98">
        <v>486</v>
      </c>
      <c r="D6" s="98">
        <v>632</v>
      </c>
      <c r="E6" s="100" t="s">
        <v>276</v>
      </c>
      <c r="F6" s="106">
        <f t="shared" ref="F6:F15" si="1">C6+D6+30</f>
        <v>1148</v>
      </c>
      <c r="G6" s="98">
        <f t="shared" ref="G6:G15" si="2">F6*12</f>
        <v>13776</v>
      </c>
      <c r="H6" s="107" t="s">
        <v>11</v>
      </c>
      <c r="I6" s="415">
        <v>2</v>
      </c>
      <c r="J6" s="417">
        <f t="shared" ref="J6" si="3">L6-K6</f>
        <v>18000</v>
      </c>
      <c r="K6" s="417">
        <v>4400</v>
      </c>
      <c r="L6" s="417">
        <v>22400</v>
      </c>
      <c r="N6" t="str">
        <f t="shared" ref="N6:N16" si="4">A6&amp;H6</f>
        <v>2Couple</v>
      </c>
      <c r="O6" s="110">
        <f t="shared" si="0"/>
        <v>13776</v>
      </c>
    </row>
    <row r="7" spans="1:15" ht="30" x14ac:dyDescent="0.25">
      <c r="A7" s="411"/>
      <c r="B7" s="96" t="s">
        <v>277</v>
      </c>
      <c r="C7" s="98">
        <v>354</v>
      </c>
      <c r="D7" s="98">
        <v>632</v>
      </c>
      <c r="E7" s="100" t="s">
        <v>276</v>
      </c>
      <c r="F7" s="106">
        <f t="shared" si="1"/>
        <v>1016</v>
      </c>
      <c r="G7" s="98">
        <f t="shared" si="2"/>
        <v>12192</v>
      </c>
      <c r="H7" s="108" t="s">
        <v>116</v>
      </c>
      <c r="I7" s="416"/>
      <c r="J7" s="416"/>
      <c r="K7" s="416"/>
      <c r="L7" s="416"/>
      <c r="N7" t="str">
        <f>2&amp;A7&amp;H7</f>
        <v>2Single</v>
      </c>
      <c r="O7" s="110">
        <f t="shared" si="0"/>
        <v>12192</v>
      </c>
    </row>
    <row r="8" spans="1:15" ht="30" x14ac:dyDescent="0.25">
      <c r="A8" s="411">
        <v>3</v>
      </c>
      <c r="B8" s="96" t="s">
        <v>278</v>
      </c>
      <c r="C8" s="98">
        <v>354</v>
      </c>
      <c r="D8" s="98">
        <v>686</v>
      </c>
      <c r="E8" s="100" t="s">
        <v>276</v>
      </c>
      <c r="F8" s="106">
        <f t="shared" si="1"/>
        <v>1070</v>
      </c>
      <c r="G8" s="98">
        <f t="shared" si="2"/>
        <v>12840</v>
      </c>
      <c r="H8" s="108" t="s">
        <v>116</v>
      </c>
      <c r="I8" s="415">
        <v>3</v>
      </c>
      <c r="J8" s="417">
        <f>L8-K8</f>
        <v>18900</v>
      </c>
      <c r="K8" s="417">
        <v>5300</v>
      </c>
      <c r="L8" s="417">
        <v>24200</v>
      </c>
      <c r="N8" t="str">
        <f t="shared" si="4"/>
        <v>3Single</v>
      </c>
      <c r="O8" s="110">
        <f t="shared" si="0"/>
        <v>12840</v>
      </c>
    </row>
    <row r="9" spans="1:15" ht="30" x14ac:dyDescent="0.25">
      <c r="A9" s="411"/>
      <c r="B9" s="96" t="s">
        <v>279</v>
      </c>
      <c r="C9" s="98">
        <v>486</v>
      </c>
      <c r="D9" s="98">
        <v>686</v>
      </c>
      <c r="E9" s="100" t="s">
        <v>276</v>
      </c>
      <c r="F9" s="106">
        <f t="shared" si="1"/>
        <v>1202</v>
      </c>
      <c r="G9" s="98">
        <f t="shared" si="2"/>
        <v>14424</v>
      </c>
      <c r="H9" s="108" t="s">
        <v>11</v>
      </c>
      <c r="I9" s="416"/>
      <c r="J9" s="416"/>
      <c r="K9" s="416"/>
      <c r="L9" s="416"/>
      <c r="N9" t="str">
        <f>3&amp;A9&amp;H9</f>
        <v>3Couple</v>
      </c>
      <c r="O9" s="110">
        <f t="shared" si="0"/>
        <v>14424</v>
      </c>
    </row>
    <row r="10" spans="1:15" ht="30" x14ac:dyDescent="0.25">
      <c r="A10" s="411">
        <v>4</v>
      </c>
      <c r="B10" s="96" t="s">
        <v>280</v>
      </c>
      <c r="C10" s="98">
        <v>354</v>
      </c>
      <c r="D10" s="98">
        <v>744</v>
      </c>
      <c r="E10" s="100" t="s">
        <v>276</v>
      </c>
      <c r="F10" s="106">
        <f t="shared" si="1"/>
        <v>1128</v>
      </c>
      <c r="G10" s="98">
        <f t="shared" si="2"/>
        <v>13536</v>
      </c>
      <c r="H10" s="108" t="s">
        <v>116</v>
      </c>
      <c r="I10" s="415">
        <v>4</v>
      </c>
      <c r="J10" s="417">
        <f>L10-K10</f>
        <v>21200</v>
      </c>
      <c r="K10" s="417">
        <v>7000</v>
      </c>
      <c r="L10" s="417">
        <v>28200</v>
      </c>
      <c r="N10" t="str">
        <f t="shared" si="4"/>
        <v>4Single</v>
      </c>
      <c r="O10" s="110">
        <f t="shared" si="0"/>
        <v>13536</v>
      </c>
    </row>
    <row r="11" spans="1:15" ht="30" x14ac:dyDescent="0.25">
      <c r="A11" s="411"/>
      <c r="B11" s="96" t="s">
        <v>281</v>
      </c>
      <c r="C11" s="98">
        <v>486</v>
      </c>
      <c r="D11" s="98">
        <v>744</v>
      </c>
      <c r="E11" s="100" t="s">
        <v>276</v>
      </c>
      <c r="F11" s="106">
        <f t="shared" si="1"/>
        <v>1260</v>
      </c>
      <c r="G11" s="98">
        <f t="shared" si="2"/>
        <v>15120</v>
      </c>
      <c r="H11" s="108" t="s">
        <v>11</v>
      </c>
      <c r="I11" s="416"/>
      <c r="J11" s="416"/>
      <c r="K11" s="416"/>
      <c r="L11" s="416"/>
      <c r="N11" t="str">
        <f>4&amp;A11&amp;H11</f>
        <v>4Couple</v>
      </c>
      <c r="O11" s="110">
        <f t="shared" si="0"/>
        <v>15120</v>
      </c>
    </row>
    <row r="12" spans="1:15" ht="30" x14ac:dyDescent="0.25">
      <c r="A12" s="411">
        <v>5</v>
      </c>
      <c r="B12" s="96" t="s">
        <v>282</v>
      </c>
      <c r="C12" s="98">
        <v>354</v>
      </c>
      <c r="D12" s="98">
        <v>802</v>
      </c>
      <c r="E12" s="100" t="s">
        <v>276</v>
      </c>
      <c r="F12" s="106">
        <f t="shared" si="1"/>
        <v>1186</v>
      </c>
      <c r="G12" s="98">
        <f t="shared" si="2"/>
        <v>14232</v>
      </c>
      <c r="H12" s="108" t="s">
        <v>116</v>
      </c>
      <c r="I12" s="415">
        <v>5</v>
      </c>
      <c r="J12" s="417">
        <f>L12-K12</f>
        <v>23700</v>
      </c>
      <c r="K12" s="417">
        <v>7200</v>
      </c>
      <c r="L12" s="417">
        <v>30900</v>
      </c>
      <c r="N12" t="str">
        <f t="shared" si="4"/>
        <v>5Single</v>
      </c>
      <c r="O12" s="110">
        <f t="shared" si="0"/>
        <v>14232</v>
      </c>
    </row>
    <row r="13" spans="1:15" ht="30" x14ac:dyDescent="0.25">
      <c r="A13" s="411"/>
      <c r="B13" s="96" t="s">
        <v>283</v>
      </c>
      <c r="C13" s="98">
        <v>486</v>
      </c>
      <c r="D13" s="98">
        <v>802</v>
      </c>
      <c r="E13" s="100" t="s">
        <v>276</v>
      </c>
      <c r="F13" s="106">
        <f t="shared" si="1"/>
        <v>1318</v>
      </c>
      <c r="G13" s="98">
        <f t="shared" si="2"/>
        <v>15816</v>
      </c>
      <c r="H13" s="108" t="s">
        <v>11</v>
      </c>
      <c r="I13" s="416"/>
      <c r="J13" s="416"/>
      <c r="K13" s="416"/>
      <c r="L13" s="416"/>
      <c r="N13" t="str">
        <f>5&amp;A13&amp;H13</f>
        <v>5Couple</v>
      </c>
      <c r="O13" s="110">
        <f t="shared" si="0"/>
        <v>15816</v>
      </c>
    </row>
    <row r="14" spans="1:15" ht="30" x14ac:dyDescent="0.25">
      <c r="A14" s="411">
        <v>6</v>
      </c>
      <c r="B14" s="96" t="s">
        <v>284</v>
      </c>
      <c r="C14" s="98">
        <v>354</v>
      </c>
      <c r="D14" s="98">
        <v>831</v>
      </c>
      <c r="E14" s="97" t="s">
        <v>276</v>
      </c>
      <c r="F14" s="106">
        <f t="shared" si="1"/>
        <v>1215</v>
      </c>
      <c r="G14" s="98">
        <f t="shared" si="2"/>
        <v>14580</v>
      </c>
      <c r="H14" s="108" t="s">
        <v>116</v>
      </c>
      <c r="I14" s="415">
        <v>6</v>
      </c>
      <c r="J14" s="417">
        <f>L14-K14</f>
        <v>25700</v>
      </c>
      <c r="K14" s="417">
        <v>8000</v>
      </c>
      <c r="L14" s="417">
        <v>33700</v>
      </c>
      <c r="N14" t="str">
        <f t="shared" si="4"/>
        <v>6Single</v>
      </c>
      <c r="O14" s="110">
        <f t="shared" si="0"/>
        <v>14580</v>
      </c>
    </row>
    <row r="15" spans="1:15" ht="30" x14ac:dyDescent="0.25">
      <c r="A15" s="411"/>
      <c r="B15" s="96" t="s">
        <v>285</v>
      </c>
      <c r="C15" s="98">
        <v>486</v>
      </c>
      <c r="D15" s="98">
        <v>831</v>
      </c>
      <c r="E15" s="97" t="s">
        <v>276</v>
      </c>
      <c r="F15" s="106">
        <f t="shared" si="1"/>
        <v>1347</v>
      </c>
      <c r="G15" s="98">
        <f t="shared" si="2"/>
        <v>16164</v>
      </c>
      <c r="H15" s="108" t="s">
        <v>11</v>
      </c>
      <c r="I15" s="416"/>
      <c r="J15" s="416"/>
      <c r="K15" s="416"/>
      <c r="L15" s="416"/>
      <c r="N15" t="str">
        <f>6&amp;A15&amp;H15</f>
        <v>6Couple</v>
      </c>
      <c r="O15" s="110">
        <f>G15</f>
        <v>16164</v>
      </c>
    </row>
    <row r="16" spans="1:15" ht="49.5" customHeight="1" x14ac:dyDescent="0.25">
      <c r="A16" s="402" t="s">
        <v>286</v>
      </c>
      <c r="B16" s="403"/>
      <c r="C16" s="403"/>
      <c r="D16" s="403"/>
      <c r="E16" s="403"/>
      <c r="F16" s="404"/>
      <c r="G16" s="405"/>
      <c r="I16" s="27">
        <v>7</v>
      </c>
      <c r="J16" s="28">
        <f>L16-K16</f>
        <v>28250</v>
      </c>
      <c r="K16" s="28">
        <f>K14+$C$16</f>
        <v>8000</v>
      </c>
      <c r="L16" s="28">
        <f>L14+L22</f>
        <v>36250</v>
      </c>
      <c r="N16" t="str">
        <f t="shared" si="4"/>
        <v>Housing Supplement: up to a maximum of $200, may be issued when actual housing expenses exceed the basic shelter allowance.</v>
      </c>
    </row>
    <row r="17" spans="1:12" ht="6.75" customHeight="1" x14ac:dyDescent="0.25">
      <c r="A17" s="406"/>
      <c r="B17" s="404"/>
      <c r="C17" s="404"/>
      <c r="D17" s="404"/>
      <c r="E17" s="404"/>
      <c r="F17" s="404"/>
      <c r="G17" s="405"/>
    </row>
    <row r="18" spans="1:12" ht="30.75" customHeight="1" x14ac:dyDescent="0.25">
      <c r="A18" s="407" t="s">
        <v>287</v>
      </c>
      <c r="B18" s="408"/>
      <c r="C18" s="408"/>
      <c r="D18" s="408"/>
      <c r="E18" s="408"/>
      <c r="F18" s="408"/>
      <c r="G18" s="409"/>
      <c r="I18" s="27">
        <v>8</v>
      </c>
      <c r="J18" s="28">
        <f>L18-K18</f>
        <v>30800</v>
      </c>
      <c r="K18" s="28">
        <f>K16+$C$16</f>
        <v>8000</v>
      </c>
      <c r="L18" s="28">
        <f>L16+L22</f>
        <v>38800</v>
      </c>
    </row>
    <row r="19" spans="1:12" x14ac:dyDescent="0.25">
      <c r="I19" s="27">
        <v>9</v>
      </c>
      <c r="J19" s="28">
        <f>L19-K19</f>
        <v>33350</v>
      </c>
      <c r="K19" s="28">
        <f>K18+$C$16</f>
        <v>8000</v>
      </c>
      <c r="L19" s="28">
        <f>L18+L22</f>
        <v>41350</v>
      </c>
    </row>
    <row r="20" spans="1:12" x14ac:dyDescent="0.25">
      <c r="I20" s="27">
        <v>10</v>
      </c>
      <c r="J20" s="28">
        <f>L20-K20</f>
        <v>35900</v>
      </c>
      <c r="K20" s="28">
        <f>K19+$C$16</f>
        <v>8000</v>
      </c>
      <c r="L20" s="28">
        <f>L19+L22</f>
        <v>43900</v>
      </c>
    </row>
    <row r="21" spans="1:12" x14ac:dyDescent="0.25">
      <c r="I21" s="1"/>
      <c r="J21" s="1"/>
      <c r="K21" s="1"/>
      <c r="L21" s="1"/>
    </row>
    <row r="22" spans="1:12" ht="22.5" x14ac:dyDescent="0.25">
      <c r="I22" s="29" t="s">
        <v>288</v>
      </c>
      <c r="J22" s="28">
        <v>1550</v>
      </c>
      <c r="K22" s="28">
        <v>1000</v>
      </c>
      <c r="L22" s="28">
        <v>2550</v>
      </c>
    </row>
    <row r="25" spans="1:12" ht="18.75" x14ac:dyDescent="0.3">
      <c r="C25" s="418" t="s">
        <v>289</v>
      </c>
      <c r="D25" s="419"/>
      <c r="E25" s="419"/>
      <c r="F25" s="419"/>
      <c r="G25" s="419"/>
      <c r="H25" s="419"/>
      <c r="I25" s="419"/>
      <c r="J25" s="419"/>
      <c r="K25" s="419"/>
    </row>
    <row r="26" spans="1:12" x14ac:dyDescent="0.25">
      <c r="C26" s="420" t="s">
        <v>290</v>
      </c>
      <c r="D26" s="421"/>
      <c r="E26" s="421"/>
      <c r="F26" s="421"/>
      <c r="G26" s="421"/>
      <c r="H26" s="421"/>
      <c r="I26" s="421"/>
      <c r="J26" s="421"/>
      <c r="K26" s="421"/>
    </row>
    <row r="27" spans="1:12" x14ac:dyDescent="0.25">
      <c r="C27" s="416"/>
      <c r="D27" s="416"/>
      <c r="E27" s="416"/>
      <c r="F27" s="416"/>
      <c r="G27" s="416"/>
      <c r="H27" s="416"/>
      <c r="I27" s="416"/>
      <c r="J27" s="416"/>
      <c r="K27" s="416"/>
    </row>
    <row r="28" spans="1:12" ht="75" x14ac:dyDescent="0.25">
      <c r="C28" s="95" t="s">
        <v>85</v>
      </c>
      <c r="D28" s="95" t="s">
        <v>268</v>
      </c>
      <c r="E28" s="95" t="s">
        <v>291</v>
      </c>
      <c r="F28" s="95" t="s">
        <v>292</v>
      </c>
      <c r="G28" s="95" t="s">
        <v>293</v>
      </c>
      <c r="H28" s="95" t="s">
        <v>294</v>
      </c>
      <c r="I28" s="95" t="s">
        <v>295</v>
      </c>
      <c r="J28" s="95" t="s">
        <v>296</v>
      </c>
      <c r="K28" s="95" t="s">
        <v>297</v>
      </c>
    </row>
    <row r="29" spans="1:12" ht="30" x14ac:dyDescent="0.25">
      <c r="C29" s="97">
        <v>1</v>
      </c>
      <c r="D29" s="96" t="s">
        <v>117</v>
      </c>
      <c r="E29" s="116">
        <v>210</v>
      </c>
      <c r="F29" s="116">
        <v>375</v>
      </c>
      <c r="G29" s="116">
        <v>175</v>
      </c>
      <c r="H29" s="116">
        <v>600</v>
      </c>
      <c r="I29" s="116">
        <v>1550</v>
      </c>
      <c r="J29" s="116">
        <v>80</v>
      </c>
      <c r="K29" s="116">
        <v>75</v>
      </c>
    </row>
    <row r="30" spans="1:12" x14ac:dyDescent="0.25">
      <c r="C30" s="411">
        <v>2</v>
      </c>
      <c r="D30" s="96" t="s">
        <v>11</v>
      </c>
      <c r="E30" s="116">
        <v>300</v>
      </c>
      <c r="F30" s="116">
        <v>750</v>
      </c>
      <c r="G30" s="116">
        <v>350</v>
      </c>
      <c r="H30" s="116">
        <v>650</v>
      </c>
      <c r="I30" s="116">
        <v>2280</v>
      </c>
      <c r="J30" s="116">
        <v>160</v>
      </c>
      <c r="K30" s="116">
        <v>75</v>
      </c>
    </row>
    <row r="31" spans="1:12" ht="45" x14ac:dyDescent="0.25">
      <c r="C31" s="411"/>
      <c r="D31" s="96" t="s">
        <v>277</v>
      </c>
      <c r="E31" s="116">
        <v>300</v>
      </c>
      <c r="F31" s="116">
        <v>625</v>
      </c>
      <c r="G31" s="116">
        <v>300</v>
      </c>
      <c r="H31" s="116">
        <v>650</v>
      </c>
      <c r="I31" s="116">
        <v>2440</v>
      </c>
      <c r="J31" s="116">
        <v>160</v>
      </c>
      <c r="K31" s="116">
        <v>75</v>
      </c>
    </row>
    <row r="32" spans="1:12" ht="60" x14ac:dyDescent="0.25">
      <c r="C32" s="411">
        <v>3</v>
      </c>
      <c r="D32" s="96" t="s">
        <v>278</v>
      </c>
      <c r="E32" s="116">
        <v>390</v>
      </c>
      <c r="F32" s="116">
        <v>875</v>
      </c>
      <c r="G32" s="116">
        <v>425</v>
      </c>
      <c r="H32" s="116">
        <v>700</v>
      </c>
      <c r="I32" s="116">
        <v>2880</v>
      </c>
      <c r="J32" s="116">
        <v>240</v>
      </c>
      <c r="K32" s="116">
        <v>75</v>
      </c>
    </row>
    <row r="33" spans="3:11" ht="45" x14ac:dyDescent="0.25">
      <c r="C33" s="411"/>
      <c r="D33" s="96" t="s">
        <v>279</v>
      </c>
      <c r="E33" s="116">
        <v>390</v>
      </c>
      <c r="F33" s="116">
        <v>1000</v>
      </c>
      <c r="G33" s="116">
        <v>475</v>
      </c>
      <c r="H33" s="116">
        <v>700</v>
      </c>
      <c r="I33" s="116">
        <v>2560</v>
      </c>
      <c r="J33" s="116">
        <v>240</v>
      </c>
      <c r="K33" s="116">
        <v>75</v>
      </c>
    </row>
    <row r="34" spans="3:11" ht="60" x14ac:dyDescent="0.25">
      <c r="C34" s="411">
        <v>4</v>
      </c>
      <c r="D34" s="96" t="s">
        <v>298</v>
      </c>
      <c r="E34" s="116"/>
      <c r="F34" s="116"/>
      <c r="G34" s="116"/>
      <c r="H34" s="116"/>
      <c r="I34" s="116"/>
      <c r="J34" s="116"/>
      <c r="K34" s="116"/>
    </row>
    <row r="35" spans="3:11" ht="45" x14ac:dyDescent="0.25">
      <c r="C35" s="411"/>
      <c r="D35" s="96" t="s">
        <v>281</v>
      </c>
      <c r="E35" s="116">
        <v>480</v>
      </c>
      <c r="F35" s="116">
        <v>1250</v>
      </c>
      <c r="G35" s="116">
        <v>600</v>
      </c>
      <c r="H35" s="116">
        <v>750</v>
      </c>
      <c r="I35" s="116">
        <v>3185</v>
      </c>
      <c r="J35" s="116">
        <v>320</v>
      </c>
      <c r="K35" s="116">
        <v>75</v>
      </c>
    </row>
    <row r="36" spans="3:11" ht="60" x14ac:dyDescent="0.25">
      <c r="C36" s="411">
        <v>5</v>
      </c>
      <c r="D36" s="96" t="s">
        <v>282</v>
      </c>
      <c r="E36" s="116"/>
      <c r="F36" s="116"/>
      <c r="G36" s="116"/>
      <c r="H36" s="116"/>
      <c r="I36" s="116"/>
      <c r="J36" s="116"/>
      <c r="K36" s="116"/>
    </row>
    <row r="37" spans="3:11" ht="45" x14ac:dyDescent="0.25">
      <c r="C37" s="411"/>
      <c r="D37" s="96" t="s">
        <v>283</v>
      </c>
      <c r="E37" s="116">
        <v>570</v>
      </c>
      <c r="F37" s="116">
        <v>1500</v>
      </c>
      <c r="G37" s="116">
        <v>725</v>
      </c>
      <c r="H37" s="116">
        <v>800</v>
      </c>
      <c r="I37" s="116">
        <v>3885</v>
      </c>
      <c r="J37" s="116">
        <v>400</v>
      </c>
      <c r="K37" s="116">
        <v>75</v>
      </c>
    </row>
    <row r="38" spans="3:11" ht="60" x14ac:dyDescent="0.25">
      <c r="C38" s="411" t="s">
        <v>299</v>
      </c>
      <c r="D38" s="96" t="s">
        <v>284</v>
      </c>
      <c r="E38" s="116"/>
      <c r="F38" s="116"/>
      <c r="G38" s="116"/>
      <c r="H38" s="116"/>
      <c r="I38" s="116"/>
      <c r="J38" s="116"/>
      <c r="K38" s="116"/>
    </row>
    <row r="39" spans="3:11" ht="45" x14ac:dyDescent="0.25">
      <c r="C39" s="411"/>
      <c r="D39" s="96" t="s">
        <v>285</v>
      </c>
      <c r="E39" s="116">
        <v>660</v>
      </c>
      <c r="F39" s="116">
        <v>1750</v>
      </c>
      <c r="G39" s="116">
        <v>850</v>
      </c>
      <c r="H39" s="116">
        <v>850</v>
      </c>
      <c r="I39" s="116">
        <v>4305</v>
      </c>
      <c r="J39" s="116">
        <v>480</v>
      </c>
      <c r="K39" s="116">
        <v>75</v>
      </c>
    </row>
    <row r="40" spans="3:11" ht="45" x14ac:dyDescent="0.25">
      <c r="C40" s="116"/>
      <c r="D40" s="96" t="s">
        <v>300</v>
      </c>
      <c r="E40" s="116">
        <v>90</v>
      </c>
      <c r="F40" s="116">
        <v>250</v>
      </c>
      <c r="G40" s="116">
        <v>125</v>
      </c>
      <c r="H40" s="116">
        <v>50</v>
      </c>
      <c r="I40" s="116">
        <v>420</v>
      </c>
      <c r="J40" s="116">
        <v>80</v>
      </c>
      <c r="K40" s="116"/>
    </row>
    <row r="41" spans="3:11" x14ac:dyDescent="0.25">
      <c r="C41" s="421" t="s">
        <v>301</v>
      </c>
      <c r="D41" s="421"/>
      <c r="E41" s="421"/>
      <c r="F41" s="421"/>
      <c r="G41" s="421"/>
      <c r="H41" s="421"/>
      <c r="I41" s="421"/>
      <c r="J41" s="421"/>
      <c r="K41" s="421"/>
    </row>
    <row r="42" spans="3:11" x14ac:dyDescent="0.25">
      <c r="C42" s="406" t="s">
        <v>302</v>
      </c>
      <c r="D42" s="404"/>
      <c r="E42" s="404"/>
      <c r="F42" s="404"/>
      <c r="G42" s="404"/>
      <c r="H42" s="404"/>
      <c r="I42" s="404"/>
      <c r="J42" s="404"/>
      <c r="K42" s="405"/>
    </row>
    <row r="43" spans="3:11" x14ac:dyDescent="0.25">
      <c r="C43" s="422" t="s">
        <v>303</v>
      </c>
      <c r="D43" s="404"/>
      <c r="E43" s="404"/>
      <c r="F43" s="404"/>
      <c r="G43" s="404"/>
      <c r="H43" s="404"/>
      <c r="I43" s="404"/>
      <c r="J43" s="404"/>
      <c r="K43" s="405"/>
    </row>
  </sheetData>
  <mergeCells count="41">
    <mergeCell ref="C43:K43"/>
    <mergeCell ref="C34:C35"/>
    <mergeCell ref="C36:C37"/>
    <mergeCell ref="C38:C39"/>
    <mergeCell ref="C41:K41"/>
    <mergeCell ref="C42:K42"/>
    <mergeCell ref="C25:K25"/>
    <mergeCell ref="C26:K26"/>
    <mergeCell ref="C27:K27"/>
    <mergeCell ref="C30:C31"/>
    <mergeCell ref="C32:C33"/>
    <mergeCell ref="L12:L13"/>
    <mergeCell ref="I14:I15"/>
    <mergeCell ref="J14:J15"/>
    <mergeCell ref="K14:K15"/>
    <mergeCell ref="L14:L15"/>
    <mergeCell ref="I6:I7"/>
    <mergeCell ref="J6:J7"/>
    <mergeCell ref="K6:K7"/>
    <mergeCell ref="L6:L7"/>
    <mergeCell ref="A14:A15"/>
    <mergeCell ref="I8:I9"/>
    <mergeCell ref="J8:J9"/>
    <mergeCell ref="K8:K9"/>
    <mergeCell ref="L8:L9"/>
    <mergeCell ref="I10:I11"/>
    <mergeCell ref="J10:J11"/>
    <mergeCell ref="K10:K11"/>
    <mergeCell ref="L10:L11"/>
    <mergeCell ref="I12:I13"/>
    <mergeCell ref="J12:J13"/>
    <mergeCell ref="K12:K13"/>
    <mergeCell ref="A16:G16"/>
    <mergeCell ref="A17:G17"/>
    <mergeCell ref="A18:G18"/>
    <mergeCell ref="A1:G1"/>
    <mergeCell ref="A6:A7"/>
    <mergeCell ref="A8:A9"/>
    <mergeCell ref="A10:A11"/>
    <mergeCell ref="A12:A13"/>
    <mergeCell ref="A2:G2"/>
  </mergeCells>
  <hyperlinks>
    <hyperlink ref="C43" r:id="rId1" xr:uid="{00000000-0004-0000-0E00-000000000000}"/>
  </hyperlinks>
  <pageMargins left="0.51181102362204722" right="0.51181102362204722" top="0.74803149606299213" bottom="0.74803149606299213" header="0.31496062992125984" footer="0.31496062992125984"/>
  <pageSetup scale="39" orientation="landscape" r:id="rId2"/>
  <headerFooter>
    <oddFooter>&amp;L&amp;D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5"/>
  <sheetViews>
    <sheetView view="pageBreakPreview" topLeftCell="D20" zoomScale="115" zoomScaleNormal="100" zoomScaleSheetLayoutView="115" workbookViewId="0">
      <selection activeCell="J28" sqref="J28"/>
    </sheetView>
  </sheetViews>
  <sheetFormatPr defaultColWidth="9.140625" defaultRowHeight="15" x14ac:dyDescent="0.25"/>
  <cols>
    <col min="1" max="1" width="18.5703125" style="1" customWidth="1"/>
    <col min="2" max="3" width="10" style="1" customWidth="1"/>
    <col min="4" max="4" width="15.140625" style="1" customWidth="1"/>
    <col min="5" max="5" width="9.140625" style="1" customWidth="1"/>
    <col min="6" max="6" width="12.5703125" style="1" customWidth="1"/>
    <col min="7" max="8" width="9.140625" style="1"/>
    <col min="9" max="9" width="21.5703125" style="1" customWidth="1"/>
    <col min="10" max="10" width="35.5703125" style="1" customWidth="1"/>
    <col min="11" max="11" width="11" style="1" bestFit="1" customWidth="1"/>
    <col min="12" max="12" width="10.140625" style="1" customWidth="1"/>
    <col min="13" max="13" width="16" style="1" customWidth="1"/>
    <col min="14" max="16384" width="9.140625" style="1"/>
  </cols>
  <sheetData>
    <row r="1" spans="1:13" ht="18.75" x14ac:dyDescent="0.25">
      <c r="A1" s="24" t="s">
        <v>304</v>
      </c>
      <c r="B1" s="25"/>
      <c r="C1" s="25"/>
      <c r="D1" s="26"/>
      <c r="M1" s="109">
        <v>1015</v>
      </c>
    </row>
    <row r="2" spans="1:13" ht="4.5" customHeight="1" x14ac:dyDescent="0.25"/>
    <row r="3" spans="1:13" ht="36" x14ac:dyDescent="0.25">
      <c r="A3" s="102" t="s">
        <v>85</v>
      </c>
      <c r="B3" s="102" t="s">
        <v>274</v>
      </c>
      <c r="C3" s="102" t="s">
        <v>87</v>
      </c>
      <c r="D3" s="102" t="s">
        <v>89</v>
      </c>
      <c r="F3" s="119" t="s">
        <v>305</v>
      </c>
      <c r="G3" s="120"/>
      <c r="H3" s="102" t="s">
        <v>86</v>
      </c>
      <c r="I3" s="102" t="s">
        <v>306</v>
      </c>
      <c r="J3" s="102" t="s">
        <v>68</v>
      </c>
      <c r="K3" s="102" t="s">
        <v>170</v>
      </c>
      <c r="L3" s="121" t="s">
        <v>307</v>
      </c>
      <c r="M3" s="122" t="s">
        <v>308</v>
      </c>
    </row>
    <row r="4" spans="1:13" ht="21.75" customHeight="1" x14ac:dyDescent="0.25">
      <c r="A4" s="27">
        <v>1</v>
      </c>
      <c r="B4" s="123">
        <f>D4-C4</f>
        <v>10700</v>
      </c>
      <c r="C4" s="123">
        <v>2800</v>
      </c>
      <c r="D4" s="123">
        <v>13500</v>
      </c>
      <c r="E4" s="124">
        <f>L4</f>
        <v>16241</v>
      </c>
      <c r="F4" s="124">
        <v>16300</v>
      </c>
      <c r="G4" s="125"/>
      <c r="H4" s="123">
        <v>9012</v>
      </c>
      <c r="I4" s="123">
        <v>3065</v>
      </c>
      <c r="J4" s="123">
        <v>2400</v>
      </c>
      <c r="K4" s="123">
        <f>147*12</f>
        <v>1764</v>
      </c>
      <c r="L4" s="121">
        <f>SUM(H4:K4)</f>
        <v>16241</v>
      </c>
      <c r="M4" s="126">
        <f t="shared" ref="M4:M13" si="0">D4-L4</f>
        <v>-2741</v>
      </c>
    </row>
    <row r="5" spans="1:13" ht="21.75" customHeight="1" x14ac:dyDescent="0.25">
      <c r="A5" s="27">
        <v>2</v>
      </c>
      <c r="B5" s="123">
        <f t="shared" ref="B5:B13" si="1">D5-C5</f>
        <v>18000</v>
      </c>
      <c r="C5" s="123">
        <v>4400</v>
      </c>
      <c r="D5" s="123">
        <v>22400</v>
      </c>
      <c r="E5" s="124">
        <f t="shared" ref="E5:E6" si="2">L5</f>
        <v>24269</v>
      </c>
      <c r="F5" s="124">
        <v>24300</v>
      </c>
      <c r="G5" s="125"/>
      <c r="H5" s="123">
        <v>13776</v>
      </c>
      <c r="I5" s="123">
        <v>4565</v>
      </c>
      <c r="J5" s="123">
        <v>2400</v>
      </c>
      <c r="K5" s="123">
        <f>(147*12)*2</f>
        <v>3528</v>
      </c>
      <c r="L5" s="121">
        <f>SUM(H5:K5)</f>
        <v>24269</v>
      </c>
      <c r="M5" s="126">
        <f t="shared" si="0"/>
        <v>-1869</v>
      </c>
    </row>
    <row r="6" spans="1:13" ht="21.75" customHeight="1" x14ac:dyDescent="0.25">
      <c r="A6" s="121">
        <v>3</v>
      </c>
      <c r="B6" s="121">
        <f t="shared" si="1"/>
        <v>18900</v>
      </c>
      <c r="C6" s="121">
        <v>5300</v>
      </c>
      <c r="D6" s="121">
        <v>24200</v>
      </c>
      <c r="E6" s="121">
        <f t="shared" si="2"/>
        <v>25937</v>
      </c>
      <c r="F6" s="121">
        <v>26000</v>
      </c>
      <c r="G6" s="121"/>
      <c r="H6" s="121">
        <v>14424</v>
      </c>
      <c r="I6" s="121">
        <v>5585</v>
      </c>
      <c r="J6" s="121">
        <v>2400</v>
      </c>
      <c r="K6" s="121">
        <f>(147*12)*2</f>
        <v>3528</v>
      </c>
      <c r="L6" s="121">
        <f t="shared" ref="L6:L13" si="3">SUM(H6:K6)</f>
        <v>25937</v>
      </c>
      <c r="M6" s="126">
        <f t="shared" si="0"/>
        <v>-1737</v>
      </c>
    </row>
    <row r="7" spans="1:13" ht="21.75" customHeight="1" x14ac:dyDescent="0.25">
      <c r="A7" s="27">
        <v>4</v>
      </c>
      <c r="B7" s="125">
        <f t="shared" si="1"/>
        <v>21200</v>
      </c>
      <c r="C7" s="125">
        <v>7000</v>
      </c>
      <c r="D7" s="125">
        <v>28200</v>
      </c>
      <c r="E7" s="124">
        <f t="shared" ref="E7:F13" si="4">D7</f>
        <v>28200</v>
      </c>
      <c r="F7" s="124">
        <f>E7</f>
        <v>28200</v>
      </c>
      <c r="G7" s="125"/>
      <c r="H7" s="123">
        <v>15120</v>
      </c>
      <c r="I7" s="123">
        <v>6600</v>
      </c>
      <c r="J7" s="123">
        <v>2400</v>
      </c>
      <c r="K7" s="123">
        <f>(147*12)*2</f>
        <v>3528</v>
      </c>
      <c r="L7" s="127">
        <f t="shared" si="3"/>
        <v>27648</v>
      </c>
      <c r="M7" s="126">
        <f t="shared" si="0"/>
        <v>552</v>
      </c>
    </row>
    <row r="8" spans="1:13" ht="21.75" customHeight="1" x14ac:dyDescent="0.25">
      <c r="A8" s="27">
        <v>5</v>
      </c>
      <c r="B8" s="123">
        <f t="shared" si="1"/>
        <v>23700</v>
      </c>
      <c r="C8" s="123">
        <v>7200</v>
      </c>
      <c r="D8" s="123">
        <v>30900</v>
      </c>
      <c r="E8" s="124">
        <f t="shared" si="4"/>
        <v>30900</v>
      </c>
      <c r="F8" s="124">
        <f t="shared" si="4"/>
        <v>30900</v>
      </c>
      <c r="G8" s="125"/>
      <c r="H8" s="123">
        <v>15816</v>
      </c>
      <c r="I8" s="123">
        <v>7615</v>
      </c>
      <c r="J8" s="123">
        <v>2400</v>
      </c>
      <c r="K8" s="123">
        <f t="shared" ref="K8:K13" si="5">(147*12)*2</f>
        <v>3528</v>
      </c>
      <c r="L8" s="127">
        <f t="shared" si="3"/>
        <v>29359</v>
      </c>
      <c r="M8" s="126">
        <f t="shared" si="0"/>
        <v>1541</v>
      </c>
    </row>
    <row r="9" spans="1:13" ht="22.5" customHeight="1" x14ac:dyDescent="0.25">
      <c r="A9" s="27">
        <v>6</v>
      </c>
      <c r="B9" s="123">
        <f t="shared" si="1"/>
        <v>25700</v>
      </c>
      <c r="C9" s="123">
        <v>8000</v>
      </c>
      <c r="D9" s="123">
        <v>33700</v>
      </c>
      <c r="E9" s="124">
        <f t="shared" si="4"/>
        <v>33700</v>
      </c>
      <c r="F9" s="124">
        <f t="shared" si="4"/>
        <v>33700</v>
      </c>
      <c r="G9" s="125"/>
      <c r="H9" s="123">
        <v>16164</v>
      </c>
      <c r="I9" s="123">
        <v>8630</v>
      </c>
      <c r="J9" s="123">
        <v>2400</v>
      </c>
      <c r="K9" s="123">
        <f t="shared" si="5"/>
        <v>3528</v>
      </c>
      <c r="L9" s="127">
        <f t="shared" si="3"/>
        <v>30722</v>
      </c>
      <c r="M9" s="126">
        <f t="shared" si="0"/>
        <v>2978</v>
      </c>
    </row>
    <row r="10" spans="1:13" ht="22.5" customHeight="1" x14ac:dyDescent="0.25">
      <c r="A10" s="27">
        <v>7</v>
      </c>
      <c r="B10" s="123">
        <f t="shared" si="1"/>
        <v>27250</v>
      </c>
      <c r="C10" s="123">
        <f>C9+$C$16</f>
        <v>9000</v>
      </c>
      <c r="D10" s="123">
        <f>D9+D16</f>
        <v>36250</v>
      </c>
      <c r="E10" s="124">
        <f t="shared" si="4"/>
        <v>36250</v>
      </c>
      <c r="F10" s="124">
        <f t="shared" si="4"/>
        <v>36250</v>
      </c>
      <c r="G10" s="125"/>
      <c r="H10" s="123">
        <v>16164</v>
      </c>
      <c r="I10" s="123">
        <f>I9+$M$1</f>
        <v>9645</v>
      </c>
      <c r="J10" s="123">
        <v>2400</v>
      </c>
      <c r="K10" s="123">
        <f t="shared" si="5"/>
        <v>3528</v>
      </c>
      <c r="L10" s="127">
        <f t="shared" si="3"/>
        <v>31737</v>
      </c>
      <c r="M10" s="126">
        <f t="shared" si="0"/>
        <v>4513</v>
      </c>
    </row>
    <row r="11" spans="1:13" ht="22.5" customHeight="1" x14ac:dyDescent="0.25">
      <c r="A11" s="27">
        <v>8</v>
      </c>
      <c r="B11" s="123">
        <f t="shared" si="1"/>
        <v>28800</v>
      </c>
      <c r="C11" s="123">
        <f>C10+$C$16</f>
        <v>10000</v>
      </c>
      <c r="D11" s="123">
        <f>D10+D16</f>
        <v>38800</v>
      </c>
      <c r="E11" s="124">
        <f t="shared" si="4"/>
        <v>38800</v>
      </c>
      <c r="F11" s="124">
        <f t="shared" si="4"/>
        <v>38800</v>
      </c>
      <c r="G11" s="125"/>
      <c r="H11" s="123">
        <v>16164</v>
      </c>
      <c r="I11" s="123">
        <f>I10+$M$1</f>
        <v>10660</v>
      </c>
      <c r="J11" s="123">
        <v>2400</v>
      </c>
      <c r="K11" s="123">
        <f t="shared" si="5"/>
        <v>3528</v>
      </c>
      <c r="L11" s="127">
        <f t="shared" si="3"/>
        <v>32752</v>
      </c>
      <c r="M11" s="126">
        <f t="shared" si="0"/>
        <v>6048</v>
      </c>
    </row>
    <row r="12" spans="1:13" ht="22.5" customHeight="1" x14ac:dyDescent="0.25">
      <c r="A12" s="27">
        <v>9</v>
      </c>
      <c r="B12" s="123">
        <f t="shared" si="1"/>
        <v>30350</v>
      </c>
      <c r="C12" s="123">
        <f>C11+$C$16</f>
        <v>11000</v>
      </c>
      <c r="D12" s="123">
        <f>D11+D16</f>
        <v>41350</v>
      </c>
      <c r="E12" s="124">
        <f t="shared" si="4"/>
        <v>41350</v>
      </c>
      <c r="F12" s="124">
        <f t="shared" si="4"/>
        <v>41350</v>
      </c>
      <c r="G12" s="125"/>
      <c r="H12" s="123">
        <v>16164</v>
      </c>
      <c r="I12" s="123">
        <f>I11+$M$1</f>
        <v>11675</v>
      </c>
      <c r="J12" s="123">
        <v>2400</v>
      </c>
      <c r="K12" s="123">
        <f t="shared" si="5"/>
        <v>3528</v>
      </c>
      <c r="L12" s="127">
        <f t="shared" si="3"/>
        <v>33767</v>
      </c>
      <c r="M12" s="126">
        <f t="shared" si="0"/>
        <v>7583</v>
      </c>
    </row>
    <row r="13" spans="1:13" ht="22.5" customHeight="1" x14ac:dyDescent="0.25">
      <c r="A13" s="27">
        <v>10</v>
      </c>
      <c r="B13" s="123">
        <f t="shared" si="1"/>
        <v>31900</v>
      </c>
      <c r="C13" s="123">
        <f>C12+$C$16</f>
        <v>12000</v>
      </c>
      <c r="D13" s="123">
        <f>D12+D16</f>
        <v>43900</v>
      </c>
      <c r="E13" s="124">
        <f t="shared" si="4"/>
        <v>43900</v>
      </c>
      <c r="F13" s="124">
        <f t="shared" si="4"/>
        <v>43900</v>
      </c>
      <c r="G13" s="125"/>
      <c r="H13" s="123">
        <v>16164</v>
      </c>
      <c r="I13" s="123">
        <f>I12+$M$1</f>
        <v>12690</v>
      </c>
      <c r="J13" s="123">
        <v>2400</v>
      </c>
      <c r="K13" s="123">
        <f t="shared" si="5"/>
        <v>3528</v>
      </c>
      <c r="L13" s="127">
        <f t="shared" si="3"/>
        <v>34782</v>
      </c>
      <c r="M13" s="126">
        <f t="shared" si="0"/>
        <v>9118</v>
      </c>
    </row>
    <row r="14" spans="1:13" ht="22.5" customHeight="1" x14ac:dyDescent="0.25">
      <c r="A14" s="423" t="s">
        <v>309</v>
      </c>
      <c r="B14" s="423"/>
      <c r="C14" s="423"/>
      <c r="D14" s="423"/>
      <c r="E14" s="423"/>
      <c r="F14" s="423"/>
      <c r="G14" s="128"/>
      <c r="H14" s="129"/>
      <c r="I14" s="129"/>
      <c r="J14" s="129"/>
      <c r="K14" s="129"/>
      <c r="L14" s="73"/>
      <c r="M14" s="130"/>
    </row>
    <row r="15" spans="1:13" ht="23.45" customHeight="1" x14ac:dyDescent="0.25">
      <c r="A15" s="423"/>
      <c r="B15" s="423"/>
      <c r="C15" s="423"/>
      <c r="D15" s="423"/>
      <c r="E15" s="423"/>
      <c r="F15" s="423"/>
    </row>
    <row r="16" spans="1:13" ht="22.5" x14ac:dyDescent="0.25">
      <c r="A16" s="131" t="s">
        <v>288</v>
      </c>
      <c r="B16" s="132">
        <v>1550</v>
      </c>
      <c r="C16" s="132">
        <v>1000</v>
      </c>
      <c r="D16" s="132">
        <v>2550</v>
      </c>
    </row>
    <row r="21" spans="1:12" ht="18.75" x14ac:dyDescent="0.25">
      <c r="A21" s="24" t="s">
        <v>304</v>
      </c>
      <c r="B21" s="25"/>
      <c r="C21" s="25"/>
      <c r="D21" s="26"/>
      <c r="I21" s="424" t="s">
        <v>304</v>
      </c>
      <c r="J21" s="424"/>
      <c r="K21" s="88"/>
      <c r="L21" s="88"/>
    </row>
    <row r="22" spans="1:12" ht="17.100000000000001" customHeight="1" x14ac:dyDescent="0.25">
      <c r="I22" s="424"/>
      <c r="J22" s="424"/>
    </row>
    <row r="23" spans="1:12" ht="36" x14ac:dyDescent="0.25">
      <c r="A23" s="102" t="s">
        <v>85</v>
      </c>
      <c r="B23" s="102" t="s">
        <v>274</v>
      </c>
      <c r="C23" s="102" t="s">
        <v>87</v>
      </c>
      <c r="D23" s="102" t="s">
        <v>89</v>
      </c>
      <c r="F23" s="119" t="s">
        <v>305</v>
      </c>
      <c r="I23" s="133" t="s">
        <v>85</v>
      </c>
      <c r="J23" s="133" t="s">
        <v>305</v>
      </c>
    </row>
    <row r="24" spans="1:12" ht="18.75" x14ac:dyDescent="0.25">
      <c r="A24" s="27">
        <v>1</v>
      </c>
      <c r="B24" s="123">
        <f>D24-C24</f>
        <v>10700</v>
      </c>
      <c r="C24" s="123">
        <v>2800</v>
      </c>
      <c r="D24" s="123">
        <v>13500</v>
      </c>
      <c r="E24" s="124" t="e">
        <f>#REF!</f>
        <v>#REF!</v>
      </c>
      <c r="F24" s="124">
        <v>16300</v>
      </c>
      <c r="I24" s="134">
        <v>1</v>
      </c>
      <c r="J24" s="135">
        <v>16300</v>
      </c>
      <c r="K24" s="1">
        <v>1</v>
      </c>
      <c r="L24" s="73">
        <f>K24*$J$24</f>
        <v>16300</v>
      </c>
    </row>
    <row r="25" spans="1:12" ht="18.75" x14ac:dyDescent="0.25">
      <c r="A25" s="27">
        <v>2</v>
      </c>
      <c r="B25" s="123">
        <f t="shared" ref="B25:B33" si="6">D25-C25</f>
        <v>18000</v>
      </c>
      <c r="C25" s="123">
        <v>4400</v>
      </c>
      <c r="D25" s="123">
        <v>22400</v>
      </c>
      <c r="E25" s="124" t="e">
        <f>#REF!</f>
        <v>#REF!</v>
      </c>
      <c r="F25" s="124">
        <v>24300</v>
      </c>
      <c r="I25" s="134">
        <v>2</v>
      </c>
      <c r="J25" s="135">
        <v>24300</v>
      </c>
      <c r="K25" s="1">
        <v>2</v>
      </c>
      <c r="L25" s="73">
        <f t="shared" ref="L25:L28" si="7">K25*$J$24</f>
        <v>32600</v>
      </c>
    </row>
    <row r="26" spans="1:12" ht="18.75" x14ac:dyDescent="0.25">
      <c r="A26" s="27">
        <v>3</v>
      </c>
      <c r="B26" s="123">
        <f t="shared" si="6"/>
        <v>18900</v>
      </c>
      <c r="C26" s="123">
        <v>5300</v>
      </c>
      <c r="D26" s="123">
        <v>24200</v>
      </c>
      <c r="E26" s="124" t="e">
        <f>#REF!</f>
        <v>#REF!</v>
      </c>
      <c r="F26" s="124">
        <v>26000</v>
      </c>
      <c r="I26" s="134">
        <v>3</v>
      </c>
      <c r="J26" s="135">
        <v>26000</v>
      </c>
      <c r="K26" s="1">
        <v>3</v>
      </c>
      <c r="L26" s="73">
        <f t="shared" si="7"/>
        <v>48900</v>
      </c>
    </row>
    <row r="27" spans="1:12" ht="18.75" x14ac:dyDescent="0.25">
      <c r="A27" s="27">
        <v>4</v>
      </c>
      <c r="B27" s="125">
        <f t="shared" si="6"/>
        <v>21200</v>
      </c>
      <c r="C27" s="125">
        <v>7000</v>
      </c>
      <c r="D27" s="125">
        <v>28200</v>
      </c>
      <c r="E27" s="124">
        <f t="shared" ref="E27:F33" si="8">D27</f>
        <v>28200</v>
      </c>
      <c r="F27" s="124">
        <f>E27</f>
        <v>28200</v>
      </c>
      <c r="I27" s="134">
        <v>4</v>
      </c>
      <c r="J27" s="135">
        <v>28200</v>
      </c>
      <c r="K27" s="1">
        <v>4</v>
      </c>
      <c r="L27" s="73">
        <f t="shared" si="7"/>
        <v>65200</v>
      </c>
    </row>
    <row r="28" spans="1:12" ht="18.75" x14ac:dyDescent="0.25">
      <c r="A28" s="27">
        <v>5</v>
      </c>
      <c r="B28" s="123">
        <f t="shared" si="6"/>
        <v>23700</v>
      </c>
      <c r="C28" s="123">
        <v>7200</v>
      </c>
      <c r="D28" s="123">
        <v>30900</v>
      </c>
      <c r="E28" s="124">
        <f t="shared" si="8"/>
        <v>30900</v>
      </c>
      <c r="F28" s="124">
        <f t="shared" si="8"/>
        <v>30900</v>
      </c>
      <c r="I28" s="134">
        <v>5</v>
      </c>
      <c r="J28" s="135">
        <v>30900</v>
      </c>
      <c r="K28" s="1">
        <v>5</v>
      </c>
      <c r="L28" s="73">
        <f t="shared" si="7"/>
        <v>81500</v>
      </c>
    </row>
    <row r="29" spans="1:12" ht="18.75" x14ac:dyDescent="0.25">
      <c r="A29" s="27">
        <v>6</v>
      </c>
      <c r="B29" s="123">
        <f t="shared" si="6"/>
        <v>25700</v>
      </c>
      <c r="C29" s="123">
        <v>8000</v>
      </c>
      <c r="D29" s="123">
        <v>33700</v>
      </c>
      <c r="E29" s="124">
        <f t="shared" si="8"/>
        <v>33700</v>
      </c>
      <c r="F29" s="124">
        <f t="shared" si="8"/>
        <v>33700</v>
      </c>
      <c r="I29" s="134">
        <v>6</v>
      </c>
      <c r="J29" s="135">
        <v>33700</v>
      </c>
      <c r="K29" s="1">
        <v>6</v>
      </c>
      <c r="L29" s="73">
        <f>K29*$J$24</f>
        <v>97800</v>
      </c>
    </row>
    <row r="30" spans="1:12" ht="31.5" x14ac:dyDescent="0.25">
      <c r="A30" s="27">
        <v>7</v>
      </c>
      <c r="B30" s="123">
        <f t="shared" si="6"/>
        <v>24700</v>
      </c>
      <c r="C30" s="123">
        <f>C29+$C$16</f>
        <v>9000</v>
      </c>
      <c r="D30" s="123">
        <f>D29+D36</f>
        <v>33700</v>
      </c>
      <c r="E30" s="124">
        <f t="shared" si="8"/>
        <v>33700</v>
      </c>
      <c r="F30" s="124">
        <f t="shared" si="8"/>
        <v>33700</v>
      </c>
      <c r="I30" s="136" t="s">
        <v>288</v>
      </c>
      <c r="J30" s="135">
        <v>2550</v>
      </c>
    </row>
    <row r="31" spans="1:12" x14ac:dyDescent="0.25">
      <c r="A31" s="27">
        <v>8</v>
      </c>
      <c r="B31" s="123">
        <f t="shared" si="6"/>
        <v>23700</v>
      </c>
      <c r="C31" s="123">
        <f>C30+$C$16</f>
        <v>10000</v>
      </c>
      <c r="D31" s="123">
        <f>D30+D36</f>
        <v>33700</v>
      </c>
      <c r="E31" s="124">
        <f t="shared" si="8"/>
        <v>33700</v>
      </c>
      <c r="F31" s="124">
        <f t="shared" si="8"/>
        <v>33700</v>
      </c>
      <c r="I31" s="425" t="s">
        <v>310</v>
      </c>
      <c r="J31" s="425"/>
    </row>
    <row r="32" spans="1:12" x14ac:dyDescent="0.25">
      <c r="A32" s="27">
        <v>9</v>
      </c>
      <c r="B32" s="123">
        <f t="shared" si="6"/>
        <v>22700</v>
      </c>
      <c r="C32" s="123">
        <f>C31+$C$16</f>
        <v>11000</v>
      </c>
      <c r="D32" s="123">
        <f>D31+D36</f>
        <v>33700</v>
      </c>
      <c r="E32" s="124">
        <f t="shared" si="8"/>
        <v>33700</v>
      </c>
      <c r="F32" s="124">
        <f t="shared" si="8"/>
        <v>33700</v>
      </c>
      <c r="I32" s="425"/>
      <c r="J32" s="425"/>
    </row>
    <row r="33" spans="1:13" x14ac:dyDescent="0.25">
      <c r="A33" s="27">
        <v>10</v>
      </c>
      <c r="B33" s="123">
        <f t="shared" si="6"/>
        <v>21700</v>
      </c>
      <c r="C33" s="123">
        <f>C32+$C$16</f>
        <v>12000</v>
      </c>
      <c r="D33" s="123">
        <f>D32+D36</f>
        <v>33700</v>
      </c>
      <c r="E33" s="124">
        <f t="shared" si="8"/>
        <v>33700</v>
      </c>
      <c r="F33" s="124">
        <f t="shared" si="8"/>
        <v>33700</v>
      </c>
      <c r="I33" s="425"/>
      <c r="J33" s="425"/>
    </row>
    <row r="34" spans="1:13" ht="14.45" customHeight="1" x14ac:dyDescent="0.25">
      <c r="A34" s="426" t="s">
        <v>309</v>
      </c>
      <c r="B34" s="427"/>
      <c r="C34" s="427"/>
      <c r="D34" s="427"/>
      <c r="E34" s="427"/>
      <c r="F34" s="428"/>
      <c r="I34" s="425"/>
      <c r="J34" s="425"/>
      <c r="K34" s="137"/>
      <c r="L34" s="137"/>
      <c r="M34" s="137"/>
    </row>
    <row r="35" spans="1:13" ht="7.5" customHeight="1" x14ac:dyDescent="0.25">
      <c r="A35" s="429"/>
      <c r="B35" s="430"/>
      <c r="C35" s="430"/>
      <c r="D35" s="430"/>
      <c r="E35" s="430"/>
      <c r="F35" s="431"/>
      <c r="I35" s="425"/>
      <c r="J35" s="425"/>
      <c r="K35" s="137"/>
      <c r="L35" s="137"/>
      <c r="M35" s="137"/>
    </row>
  </sheetData>
  <mergeCells count="4">
    <mergeCell ref="A14:F15"/>
    <mergeCell ref="I21:J22"/>
    <mergeCell ref="I31:J35"/>
    <mergeCell ref="A34:F35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4"/>
  <sheetViews>
    <sheetView tabSelected="1" zoomScale="95" zoomScaleNormal="9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140625" defaultRowHeight="15" outlineLevelCol="1" x14ac:dyDescent="0.25"/>
  <cols>
    <col min="1" max="1" width="4" style="1" customWidth="1"/>
    <col min="2" max="2" width="75.28515625" style="1" customWidth="1"/>
    <col min="3" max="3" width="35.7109375" style="1" customWidth="1"/>
    <col min="4" max="4" width="30" style="1" customWidth="1"/>
    <col min="5" max="5" width="33.7109375" style="1" customWidth="1"/>
    <col min="6" max="6" width="30.140625" style="51" customWidth="1"/>
    <col min="7" max="7" width="31.42578125" style="51" customWidth="1"/>
    <col min="8" max="8" width="30.140625" style="51" customWidth="1"/>
    <col min="9" max="9" width="10" style="51" customWidth="1"/>
    <col min="10" max="10" width="18.5703125" customWidth="1"/>
    <col min="11" max="11" width="27.28515625" style="92" customWidth="1"/>
    <col min="12" max="12" width="2.42578125" style="92" customWidth="1"/>
    <col min="13" max="13" width="28.28515625" style="1" customWidth="1" outlineLevel="1"/>
    <col min="14" max="14" width="19.28515625" style="1" customWidth="1" outlineLevel="1"/>
    <col min="15" max="15" width="28.5703125" style="1" customWidth="1" outlineLevel="1"/>
    <col min="16" max="16" width="18.85546875" style="1" customWidth="1" outlineLevel="1"/>
    <col min="17" max="17" width="6.28515625" style="1" customWidth="1" outlineLevel="1"/>
    <col min="18" max="18" width="6.28515625" style="1" customWidth="1"/>
    <col min="19" max="29" width="9.42578125" style="1" hidden="1" customWidth="1" outlineLevel="1"/>
    <col min="30" max="31" width="9.140625" style="1" hidden="1" customWidth="1" outlineLevel="1"/>
    <col min="32" max="32" width="9.140625" style="1" collapsed="1"/>
    <col min="33" max="16384" width="9.140625" style="1"/>
  </cols>
  <sheetData>
    <row r="1" spans="1:31" s="50" customFormat="1" ht="78.75" customHeight="1" x14ac:dyDescent="0.25">
      <c r="A1" s="348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50"/>
      <c r="L1" s="286"/>
      <c r="M1" s="329" t="s">
        <v>1</v>
      </c>
      <c r="N1" s="330"/>
      <c r="O1" s="330"/>
      <c r="P1" s="33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5.25" customHeight="1" x14ac:dyDescent="0.25">
      <c r="A2" s="139"/>
    </row>
    <row r="3" spans="1:31" ht="84.75" customHeight="1" x14ac:dyDescent="0.25">
      <c r="A3" s="272"/>
      <c r="B3" s="239"/>
      <c r="C3" s="283" t="s">
        <v>2</v>
      </c>
      <c r="D3" s="342" t="s">
        <v>3</v>
      </c>
      <c r="E3" s="343"/>
      <c r="F3" s="344"/>
      <c r="M3" s="326" t="s">
        <v>4</v>
      </c>
      <c r="N3" s="323"/>
      <c r="O3" s="326" t="s">
        <v>5</v>
      </c>
      <c r="P3" s="331"/>
    </row>
    <row r="4" spans="1:31" ht="32.25" customHeight="1" x14ac:dyDescent="0.25">
      <c r="A4" s="242" t="s">
        <v>6</v>
      </c>
      <c r="B4" s="239"/>
      <c r="C4" s="250"/>
      <c r="D4" s="257"/>
      <c r="E4" s="258"/>
      <c r="F4" s="259"/>
      <c r="M4" s="327"/>
      <c r="N4" s="324"/>
      <c r="O4" s="327"/>
      <c r="P4" s="331"/>
    </row>
    <row r="5" spans="1:31" ht="32.25" customHeight="1" x14ac:dyDescent="0.25">
      <c r="A5" s="242" t="s">
        <v>7</v>
      </c>
      <c r="B5" s="240"/>
      <c r="C5" s="250"/>
      <c r="D5" s="260"/>
      <c r="E5" s="256"/>
      <c r="F5" s="261"/>
      <c r="M5" s="327"/>
      <c r="N5" s="324"/>
      <c r="O5" s="327"/>
      <c r="P5" s="331"/>
    </row>
    <row r="6" spans="1:31" ht="32.25" customHeight="1" x14ac:dyDescent="0.25">
      <c r="A6" s="242" t="s">
        <v>8</v>
      </c>
      <c r="B6" s="240"/>
      <c r="C6" s="251"/>
      <c r="D6" s="260"/>
      <c r="E6" s="256"/>
      <c r="F6" s="261"/>
      <c r="I6" s="289"/>
      <c r="M6" s="328"/>
      <c r="N6" s="325"/>
      <c r="O6" s="328"/>
      <c r="P6" s="332"/>
    </row>
    <row r="7" spans="1:31" ht="32.25" customHeight="1" x14ac:dyDescent="0.25">
      <c r="A7" s="242" t="s">
        <v>9</v>
      </c>
      <c r="B7" s="240"/>
      <c r="C7" s="251">
        <v>1</v>
      </c>
      <c r="D7" s="262" t="str">
        <f>IF(AND(C8="Couple",2+C9=C7),"OK",IF(1+C9=C7, "OK", "Review: Family Size,  Family Composition &amp; Number of Children"))</f>
        <v>OK</v>
      </c>
      <c r="E7" s="256"/>
      <c r="F7" s="261"/>
      <c r="M7" s="251">
        <f>C7</f>
        <v>1</v>
      </c>
      <c r="N7" s="295"/>
      <c r="O7" s="293">
        <f>C7-M7</f>
        <v>0</v>
      </c>
      <c r="P7" s="290"/>
      <c r="Q7" s="287" t="str">
        <f>IF(O7&lt;0,"ERROR","OK")</f>
        <v>OK</v>
      </c>
      <c r="R7" s="287"/>
    </row>
    <row r="8" spans="1:31" ht="32.25" customHeight="1" x14ac:dyDescent="0.25">
      <c r="A8" s="242" t="s">
        <v>10</v>
      </c>
      <c r="B8" s="240"/>
      <c r="C8" s="251" t="s">
        <v>12</v>
      </c>
      <c r="D8" s="262" t="str">
        <f>IF(AND(C8="Couple",C7=1),"ERROR - Family Size does not match Family Composition","OK")</f>
        <v>OK</v>
      </c>
      <c r="E8" s="256"/>
      <c r="F8" s="261"/>
      <c r="I8" s="140"/>
      <c r="M8" s="251" t="str">
        <f t="shared" ref="M8:M13" si="0">C8</f>
        <v>Single or Single Parent</v>
      </c>
      <c r="N8" s="295"/>
      <c r="O8" s="293" t="str">
        <f>IF(C8="Couple",IF(M8="Single or Single Parent","Single or Single Parent","Children"),"Children")</f>
        <v>Children</v>
      </c>
      <c r="P8" s="290"/>
      <c r="Q8" s="287" t="str">
        <f t="shared" ref="Q8:Q13" si="1">IF(O8&lt;0,"ERROR","OK")</f>
        <v>OK</v>
      </c>
      <c r="R8" s="287"/>
      <c r="S8" s="140"/>
      <c r="T8" s="140"/>
      <c r="U8" s="140"/>
      <c r="V8" s="140"/>
      <c r="W8" s="140"/>
      <c r="X8" s="140"/>
      <c r="Y8" s="140"/>
      <c r="Z8" s="140"/>
    </row>
    <row r="9" spans="1:31" ht="32.25" customHeight="1" x14ac:dyDescent="0.25">
      <c r="A9" s="242" t="s">
        <v>13</v>
      </c>
      <c r="B9" s="240"/>
      <c r="C9" s="251">
        <v>0</v>
      </c>
      <c r="D9" s="262" t="str">
        <f>IF(C9&gt;C7-1,"ERROR - Number of Children does not correspond with Family Size","OK")</f>
        <v>OK</v>
      </c>
      <c r="E9" s="228" t="str">
        <f>IF(AND(C8="Single or Single Parent",C7-C9&lt;&gt;1),"ERROR - In Either Family Size, Family Composition and/or Number of Children ","OK")</f>
        <v>OK</v>
      </c>
      <c r="F9" s="263" t="str">
        <f>IF(AND(C8="Couple",C7-C9&lt;=1),"ERROR - In Either Family Size, Family Composition and/or Number of Children ","OK")</f>
        <v>OK</v>
      </c>
      <c r="M9" s="251">
        <f t="shared" si="0"/>
        <v>0</v>
      </c>
      <c r="N9" s="295"/>
      <c r="O9" s="293">
        <f>C9-M9</f>
        <v>0</v>
      </c>
      <c r="P9" s="290"/>
      <c r="Q9" s="287" t="str">
        <f t="shared" si="1"/>
        <v>OK</v>
      </c>
      <c r="R9" s="287"/>
    </row>
    <row r="10" spans="1:31" ht="32.25" customHeight="1" x14ac:dyDescent="0.25">
      <c r="A10" s="242" t="s">
        <v>14</v>
      </c>
      <c r="B10" s="240"/>
      <c r="C10" s="251">
        <v>0</v>
      </c>
      <c r="D10" s="262" t="str">
        <f>IF(C9-C11-C12=C10,"OK", "Review: # of Children, # of Pre-School Age Children, # of School Age Children, and # of Children 18-21")</f>
        <v>OK</v>
      </c>
      <c r="E10" s="228"/>
      <c r="F10" s="261"/>
      <c r="G10" s="1"/>
      <c r="H10" s="1"/>
      <c r="J10" s="1"/>
      <c r="K10" s="137"/>
      <c r="L10" s="137"/>
      <c r="M10" s="251">
        <f t="shared" si="0"/>
        <v>0</v>
      </c>
      <c r="N10" s="295"/>
      <c r="O10" s="293">
        <f>C10-M10</f>
        <v>0</v>
      </c>
      <c r="P10" s="290"/>
      <c r="Q10" s="287" t="str">
        <f t="shared" si="1"/>
        <v>OK</v>
      </c>
      <c r="R10" s="287"/>
    </row>
    <row r="11" spans="1:31" ht="32.25" customHeight="1" x14ac:dyDescent="0.25">
      <c r="A11" s="242" t="s">
        <v>15</v>
      </c>
      <c r="B11" s="240"/>
      <c r="C11" s="251">
        <v>0</v>
      </c>
      <c r="D11" s="262" t="str">
        <f>IF(AND(C8="Couple",C11=C9-C10-C12-2),"Review: # of Children, # of Pre-School Age Children, # of School Age Children, and # of Children 18-21","OK")</f>
        <v>OK</v>
      </c>
      <c r="E11" s="256"/>
      <c r="F11" s="261"/>
      <c r="M11" s="251">
        <f t="shared" si="0"/>
        <v>0</v>
      </c>
      <c r="N11" s="295"/>
      <c r="O11" s="293">
        <f>C11-M11</f>
        <v>0</v>
      </c>
      <c r="P11" s="290"/>
      <c r="Q11" s="287" t="str">
        <f t="shared" si="1"/>
        <v>OK</v>
      </c>
      <c r="R11" s="287"/>
    </row>
    <row r="12" spans="1:31" ht="32.25" customHeight="1" x14ac:dyDescent="0.25">
      <c r="A12" s="242" t="s">
        <v>16</v>
      </c>
      <c r="B12" s="240"/>
      <c r="C12" s="251">
        <v>0</v>
      </c>
      <c r="D12" s="262" t="str">
        <f>IF(C9-C11-C10=C12, "OK", "Review: # of Children, # of Pre-School Age Children, # of School Age Children, and # of Children 18-21")</f>
        <v>OK</v>
      </c>
      <c r="E12" s="256"/>
      <c r="F12" s="261"/>
      <c r="M12" s="251">
        <f t="shared" si="0"/>
        <v>0</v>
      </c>
      <c r="N12" s="295"/>
      <c r="O12" s="293">
        <f>C12-M12</f>
        <v>0</v>
      </c>
      <c r="P12" s="290"/>
      <c r="Q12" s="287" t="str">
        <f t="shared" si="1"/>
        <v>OK</v>
      </c>
      <c r="R12" s="287"/>
    </row>
    <row r="13" spans="1:31" ht="32.25" customHeight="1" x14ac:dyDescent="0.25">
      <c r="A13" s="242" t="s">
        <v>17</v>
      </c>
      <c r="B13" s="240"/>
      <c r="C13" s="251">
        <v>1</v>
      </c>
      <c r="D13" s="262"/>
      <c r="E13" s="256"/>
      <c r="F13" s="261"/>
      <c r="M13" s="251">
        <f t="shared" si="0"/>
        <v>1</v>
      </c>
      <c r="N13" s="295"/>
      <c r="O13" s="293">
        <f>C13-M13</f>
        <v>0</v>
      </c>
      <c r="P13" s="290"/>
      <c r="Q13" s="287" t="str">
        <f t="shared" si="1"/>
        <v>OK</v>
      </c>
      <c r="R13" s="287"/>
      <c r="S13" s="145" t="s">
        <v>18</v>
      </c>
      <c r="T13" s="146">
        <v>1</v>
      </c>
      <c r="U13" s="146">
        <v>2</v>
      </c>
      <c r="V13" s="146">
        <v>3</v>
      </c>
      <c r="W13" s="146">
        <v>4</v>
      </c>
      <c r="X13" s="146">
        <v>5</v>
      </c>
      <c r="Y13" s="146">
        <v>6</v>
      </c>
      <c r="Z13" s="146">
        <v>7</v>
      </c>
      <c r="AA13" s="146">
        <v>8</v>
      </c>
      <c r="AB13" s="146">
        <v>9</v>
      </c>
      <c r="AC13" s="146">
        <v>10</v>
      </c>
      <c r="AD13" s="146">
        <v>11</v>
      </c>
      <c r="AE13" s="146">
        <v>12</v>
      </c>
    </row>
    <row r="14" spans="1:31" ht="32.25" customHeight="1" x14ac:dyDescent="0.25">
      <c r="A14" s="243" t="s">
        <v>19</v>
      </c>
      <c r="B14" s="240"/>
      <c r="C14" s="252">
        <v>44166</v>
      </c>
      <c r="D14" s="260"/>
      <c r="E14" s="256"/>
      <c r="F14" s="261"/>
      <c r="M14" s="313">
        <f>C14</f>
        <v>44166</v>
      </c>
      <c r="N14" s="296"/>
      <c r="O14" s="293"/>
      <c r="P14" s="290"/>
      <c r="S14" s="145" t="s">
        <v>20</v>
      </c>
      <c r="T14" s="147">
        <f>EDATE(C14,0)</f>
        <v>44166</v>
      </c>
      <c r="U14" s="147">
        <f t="shared" ref="U14:AE14" si="2">EDATE($C$14,T13)</f>
        <v>44197</v>
      </c>
      <c r="V14" s="147">
        <f t="shared" si="2"/>
        <v>44228</v>
      </c>
      <c r="W14" s="147">
        <f t="shared" si="2"/>
        <v>44256</v>
      </c>
      <c r="X14" s="147">
        <f t="shared" si="2"/>
        <v>44287</v>
      </c>
      <c r="Y14" s="147">
        <f t="shared" si="2"/>
        <v>44317</v>
      </c>
      <c r="Z14" s="147">
        <f t="shared" si="2"/>
        <v>44348</v>
      </c>
      <c r="AA14" s="147">
        <f t="shared" si="2"/>
        <v>44378</v>
      </c>
      <c r="AB14" s="147">
        <f t="shared" si="2"/>
        <v>44409</v>
      </c>
      <c r="AC14" s="147">
        <f t="shared" si="2"/>
        <v>44440</v>
      </c>
      <c r="AD14" s="147">
        <f t="shared" si="2"/>
        <v>44470</v>
      </c>
      <c r="AE14" s="147">
        <f t="shared" si="2"/>
        <v>44501</v>
      </c>
    </row>
    <row r="15" spans="1:31" ht="32.25" customHeight="1" x14ac:dyDescent="0.25">
      <c r="A15" s="242" t="s">
        <v>21</v>
      </c>
      <c r="B15" s="241"/>
      <c r="C15" s="253">
        <v>156</v>
      </c>
      <c r="D15" s="260"/>
      <c r="E15" s="256"/>
      <c r="F15" s="261"/>
      <c r="M15" s="254">
        <f>C15</f>
        <v>156</v>
      </c>
      <c r="N15" s="292"/>
      <c r="O15" s="312">
        <f>M15</f>
        <v>156</v>
      </c>
      <c r="P15" s="291"/>
    </row>
    <row r="16" spans="1:31" ht="32.25" customHeight="1" x14ac:dyDescent="0.25">
      <c r="A16" s="242" t="s">
        <v>22</v>
      </c>
      <c r="B16" s="240"/>
      <c r="C16" s="253">
        <v>10000</v>
      </c>
      <c r="D16" s="260"/>
      <c r="E16" s="256"/>
      <c r="F16" s="261"/>
      <c r="M16" s="254">
        <f>C16</f>
        <v>10000</v>
      </c>
      <c r="N16" s="292"/>
      <c r="O16" s="294">
        <v>0</v>
      </c>
      <c r="P16" s="292"/>
      <c r="Q16" s="151"/>
      <c r="R16" s="151"/>
    </row>
    <row r="17" spans="1:28" ht="32.25" customHeight="1" x14ac:dyDescent="0.25">
      <c r="A17" s="242" t="s">
        <v>23</v>
      </c>
      <c r="B17" s="240"/>
      <c r="C17" s="253">
        <v>0</v>
      </c>
      <c r="D17" s="260"/>
      <c r="E17" s="256"/>
      <c r="F17" s="261"/>
      <c r="M17" s="253">
        <f>C17</f>
        <v>0</v>
      </c>
      <c r="N17" s="292"/>
      <c r="O17" s="294">
        <v>0</v>
      </c>
      <c r="P17" s="292"/>
      <c r="Q17" s="151"/>
      <c r="R17" s="151"/>
    </row>
    <row r="18" spans="1:28" ht="32.25" customHeight="1" x14ac:dyDescent="0.25">
      <c r="A18" s="242" t="s">
        <v>24</v>
      </c>
      <c r="B18" s="240"/>
      <c r="C18" s="254">
        <f>IF(C17&gt;VLOOKUP('User Input Sheet'!$C$7,'RAP Guidelines'!$F$39:$G$48,2),(C17-VLOOKUP('User Input Sheet'!$C$7,'RAP Guidelines'!$F$39:$G$48,2)),0)</f>
        <v>0</v>
      </c>
      <c r="D18" s="264"/>
      <c r="E18" s="265"/>
      <c r="F18" s="266"/>
      <c r="M18" s="253">
        <f>C18</f>
        <v>0</v>
      </c>
      <c r="N18" s="297"/>
      <c r="O18" s="293"/>
      <c r="P18" s="290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1:28" ht="5.25" customHeight="1" x14ac:dyDescent="0.25">
      <c r="M19" s="142"/>
      <c r="N19" s="142"/>
      <c r="Q19" s="143"/>
      <c r="R19" s="143"/>
      <c r="S19" s="141"/>
      <c r="T19" s="141"/>
      <c r="W19" s="141"/>
      <c r="X19" s="141"/>
      <c r="Y19" s="141"/>
      <c r="Z19" s="141"/>
    </row>
    <row r="20" spans="1:28" ht="54" customHeight="1" x14ac:dyDescent="0.25">
      <c r="A20" s="244" t="s">
        <v>25</v>
      </c>
      <c r="B20" s="245"/>
      <c r="C20" s="246" t="s">
        <v>26</v>
      </c>
      <c r="D20" s="246" t="s">
        <v>27</v>
      </c>
      <c r="E20" s="227" t="s">
        <v>28</v>
      </c>
      <c r="F20" s="345" t="s">
        <v>3</v>
      </c>
      <c r="G20" s="346"/>
      <c r="H20" s="347"/>
      <c r="M20" s="285" t="s">
        <v>25</v>
      </c>
      <c r="N20" s="246" t="s">
        <v>27</v>
      </c>
      <c r="O20" s="285" t="s">
        <v>25</v>
      </c>
      <c r="P20" s="246" t="s">
        <v>27</v>
      </c>
      <c r="Q20" s="143"/>
      <c r="R20" s="143"/>
      <c r="S20" s="141"/>
      <c r="T20" s="141"/>
      <c r="W20" s="141"/>
      <c r="X20" s="141"/>
      <c r="Y20" s="141"/>
      <c r="Z20" s="141"/>
    </row>
    <row r="21" spans="1:28" ht="30.75" customHeight="1" x14ac:dyDescent="0.25">
      <c r="B21" s="1" t="s">
        <v>29</v>
      </c>
      <c r="C21" s="160" t="s">
        <v>30</v>
      </c>
      <c r="D21" s="160">
        <v>0</v>
      </c>
      <c r="E21" s="267" t="s">
        <v>31</v>
      </c>
      <c r="F21" s="268" t="str">
        <f>IF(D21&gt;9,"ERROR - Maximum Support Months Exceeded", "OK")</f>
        <v>OK</v>
      </c>
      <c r="G21" s="256"/>
      <c r="H21" s="261"/>
      <c r="M21" s="160" t="s">
        <v>30</v>
      </c>
      <c r="N21" s="160">
        <f>D21</f>
        <v>0</v>
      </c>
      <c r="O21" s="160" t="s">
        <v>30</v>
      </c>
      <c r="P21" s="160">
        <v>0</v>
      </c>
      <c r="Q21" s="143"/>
      <c r="R21" s="143"/>
      <c r="S21" s="141"/>
      <c r="T21" s="141"/>
      <c r="W21" s="141"/>
      <c r="X21" s="141"/>
      <c r="Y21" s="141"/>
      <c r="Z21" s="141"/>
    </row>
    <row r="22" spans="1:28" ht="30.75" customHeight="1" x14ac:dyDescent="0.25">
      <c r="B22" s="1" t="s">
        <v>32</v>
      </c>
      <c r="C22" s="160" t="s">
        <v>30</v>
      </c>
      <c r="D22" s="87" t="s">
        <v>33</v>
      </c>
      <c r="E22" s="267" t="s">
        <v>34</v>
      </c>
      <c r="F22" s="260"/>
      <c r="G22" s="256"/>
      <c r="H22" s="261"/>
      <c r="M22" s="160" t="s">
        <v>30</v>
      </c>
      <c r="N22" s="87" t="str">
        <f t="shared" ref="N22:N24" si="3">D22</f>
        <v>N/A</v>
      </c>
      <c r="O22" s="160" t="s">
        <v>30</v>
      </c>
      <c r="P22" s="87" t="s">
        <v>33</v>
      </c>
      <c r="Q22" s="143"/>
      <c r="R22" s="143"/>
      <c r="S22" s="141"/>
      <c r="T22" s="141"/>
      <c r="W22" s="141"/>
      <c r="X22" s="141"/>
      <c r="Y22" s="141"/>
      <c r="Z22" s="141"/>
    </row>
    <row r="23" spans="1:28" ht="30.75" customHeight="1" x14ac:dyDescent="0.25">
      <c r="B23" s="1" t="s">
        <v>35</v>
      </c>
      <c r="C23" s="160" t="s">
        <v>30</v>
      </c>
      <c r="D23" s="87" t="s">
        <v>33</v>
      </c>
      <c r="E23" s="267" t="s">
        <v>36</v>
      </c>
      <c r="F23" s="260"/>
      <c r="G23" s="256"/>
      <c r="H23" s="261"/>
      <c r="M23" s="160" t="s">
        <v>30</v>
      </c>
      <c r="N23" s="87" t="str">
        <f t="shared" si="3"/>
        <v>N/A</v>
      </c>
      <c r="O23" s="160" t="s">
        <v>30</v>
      </c>
      <c r="P23" s="87" t="s">
        <v>33</v>
      </c>
      <c r="Q23" s="143"/>
      <c r="R23" s="143"/>
      <c r="S23" s="141"/>
      <c r="T23" s="141"/>
      <c r="W23" s="141"/>
      <c r="X23" s="141"/>
      <c r="Y23" s="141"/>
      <c r="Z23" s="141"/>
    </row>
    <row r="24" spans="1:28" ht="30.75" customHeight="1" x14ac:dyDescent="0.25">
      <c r="B24" s="1" t="s">
        <v>37</v>
      </c>
      <c r="C24" s="160" t="s">
        <v>30</v>
      </c>
      <c r="D24" s="160">
        <v>0</v>
      </c>
      <c r="E24" s="267" t="s">
        <v>38</v>
      </c>
      <c r="F24" s="260"/>
      <c r="G24" s="256"/>
      <c r="H24" s="261"/>
      <c r="M24" s="160" t="s">
        <v>30</v>
      </c>
      <c r="N24" s="160">
        <f t="shared" si="3"/>
        <v>0</v>
      </c>
      <c r="O24" s="160" t="s">
        <v>30</v>
      </c>
      <c r="P24" s="160">
        <v>0</v>
      </c>
      <c r="Q24" s="143"/>
      <c r="R24" s="143"/>
      <c r="S24" s="141"/>
      <c r="T24" s="141"/>
      <c r="W24" s="141"/>
      <c r="X24" s="141"/>
      <c r="Y24" s="141"/>
      <c r="Z24" s="141"/>
    </row>
    <row r="25" spans="1:28" ht="33.75" x14ac:dyDescent="0.25">
      <c r="B25" s="1" t="s">
        <v>39</v>
      </c>
      <c r="C25" s="280" t="str">
        <f>IF(C11&gt;0,"Yes","No")</f>
        <v>No</v>
      </c>
      <c r="D25" s="160">
        <v>0</v>
      </c>
      <c r="E25" s="267" t="s">
        <v>40</v>
      </c>
      <c r="F25" s="269" t="str">
        <f>IF(D25&gt;2,"ERROR - Maximum Number Exceeded", "OK")</f>
        <v>OK</v>
      </c>
      <c r="G25" s="270" t="str">
        <f>IF(AND(C25="Yes",D25=0), "Error - D25 must be greater than 0", "OK")</f>
        <v>OK</v>
      </c>
      <c r="H25" s="271" t="str">
        <f>IF(AND(C25="No",D25&gt;0), "Error - D25 must 0", "OK")</f>
        <v>OK</v>
      </c>
      <c r="M25" s="280" t="str">
        <f>IF(M11&gt;0,"Yes","No")</f>
        <v>No</v>
      </c>
      <c r="N25" s="160">
        <v>0</v>
      </c>
      <c r="O25" s="280" t="str">
        <f>IF(O11&gt;0,"Yes","No")</f>
        <v>No</v>
      </c>
      <c r="P25" s="160">
        <v>2</v>
      </c>
      <c r="Q25" s="143"/>
      <c r="R25" s="143"/>
      <c r="S25" s="141"/>
      <c r="T25" s="141"/>
      <c r="W25" s="141"/>
      <c r="X25" s="141"/>
      <c r="Y25" s="141"/>
      <c r="Z25" s="141"/>
    </row>
    <row r="26" spans="1:28" ht="7.5" customHeight="1" x14ac:dyDescent="0.25">
      <c r="M26" s="142"/>
      <c r="N26" s="142"/>
      <c r="Q26" s="143"/>
      <c r="R26" s="143"/>
      <c r="S26" s="141"/>
      <c r="T26" s="141"/>
      <c r="W26" s="141"/>
      <c r="X26" s="141"/>
      <c r="Y26" s="141"/>
      <c r="Z26" s="141"/>
    </row>
    <row r="27" spans="1:28" ht="54.75" customHeight="1" x14ac:dyDescent="0.25">
      <c r="A27" s="247" t="s">
        <v>41</v>
      </c>
      <c r="B27" s="248"/>
      <c r="C27" s="246" t="s">
        <v>42</v>
      </c>
      <c r="D27" s="246" t="s">
        <v>43</v>
      </c>
      <c r="E27" s="246" t="s">
        <v>44</v>
      </c>
      <c r="F27" s="246" t="s">
        <v>45</v>
      </c>
      <c r="G27" s="246" t="s">
        <v>46</v>
      </c>
      <c r="H27" s="246" t="s">
        <v>47</v>
      </c>
      <c r="I27" s="144"/>
    </row>
    <row r="28" spans="1:28" ht="5.25" customHeight="1" x14ac:dyDescent="0.25">
      <c r="M28" s="141"/>
      <c r="N28" s="141"/>
      <c r="O28" s="141"/>
      <c r="P28" s="141"/>
      <c r="Q28" s="141"/>
      <c r="R28" s="141"/>
      <c r="U28" s="141"/>
      <c r="V28" s="141"/>
      <c r="W28" s="141"/>
      <c r="X28" s="141"/>
    </row>
    <row r="29" spans="1:28" ht="57" customHeight="1" x14ac:dyDescent="0.25">
      <c r="A29" s="249" t="s">
        <v>48</v>
      </c>
      <c r="B29" s="40"/>
      <c r="C29" s="246" t="s">
        <v>42</v>
      </c>
      <c r="D29" s="246" t="s">
        <v>43</v>
      </c>
      <c r="E29" s="340" t="s">
        <v>49</v>
      </c>
      <c r="F29" s="341"/>
      <c r="G29" s="246" t="s">
        <v>46</v>
      </c>
      <c r="H29" s="246" t="s">
        <v>47</v>
      </c>
      <c r="J29" s="33" t="s">
        <v>50</v>
      </c>
      <c r="K29" s="33" t="s">
        <v>28</v>
      </c>
    </row>
    <row r="30" spans="1:28" x14ac:dyDescent="0.25">
      <c r="B30" s="1" t="s">
        <v>51</v>
      </c>
      <c r="C30" s="217">
        <f>VLOOKUP($C$7-$C$12,'RAP Guidelines'!$L$7:$X$16,2)</f>
        <v>245.74</v>
      </c>
      <c r="D30" s="217">
        <f>IF(C12&gt;0,(VLOOKUP(1,'RAP Guidelines'!$L$7:$X$16,2)*C12),0)</f>
        <v>0</v>
      </c>
      <c r="E30" s="219"/>
      <c r="F30" s="226">
        <f>SUM(C30:D30)</f>
        <v>245.74</v>
      </c>
      <c r="G30" s="220"/>
      <c r="H30" s="219">
        <f>IF(F30-G30&gt;=0,F30-G30,0)</f>
        <v>245.74</v>
      </c>
      <c r="I30" s="314" t="str">
        <f>IF(G30&gt;(F30*'RAP Guidelines'!Y28),"Error: In-Kind Deduction Limit Exceeded","OK")</f>
        <v>OK</v>
      </c>
      <c r="J30" s="43">
        <f>F30*'RAP Guidelines'!Y28</f>
        <v>122.87</v>
      </c>
      <c r="K30" s="137"/>
    </row>
    <row r="31" spans="1:28" x14ac:dyDescent="0.25">
      <c r="B31" s="1" t="s">
        <v>52</v>
      </c>
      <c r="C31" s="217">
        <f>IF($C$8="Single or Single Parent",VLOOKUP($C$7-$C$12,'RAP Guidelines'!$L$7:$X$16,6), VLOOKUP($C$7-$C$12,'RAP Guidelines'!$L$7:$X$16,10,FALSE))</f>
        <v>384.17</v>
      </c>
      <c r="D31" s="217">
        <f>IF($C$12&gt;0,(VLOOKUP(1,'RAP Guidelines'!$L$7:$X$16,6)*$C$12),0)</f>
        <v>0</v>
      </c>
      <c r="E31" s="219"/>
      <c r="F31" s="226">
        <f t="shared" ref="F31:F36" si="4">SUM(C31:D31)</f>
        <v>384.17</v>
      </c>
      <c r="G31" s="220"/>
      <c r="H31" s="219">
        <f t="shared" ref="H31:H37" si="5">IF(F31-G31&gt;=0,F31-G31,0)</f>
        <v>384.17</v>
      </c>
      <c r="I31" s="314" t="str">
        <f>IF(G31&gt;(F31*'RAP Guidelines'!Y29),"Error: In-Kind Deduction Limit Exceeded","OK")</f>
        <v>OK</v>
      </c>
      <c r="J31" s="43">
        <f>F31*'RAP Guidelines'!Y29</f>
        <v>268.91899999999998</v>
      </c>
      <c r="K31" s="137"/>
    </row>
    <row r="32" spans="1:28" x14ac:dyDescent="0.25">
      <c r="B32" s="1" t="s">
        <v>53</v>
      </c>
      <c r="C32" s="217">
        <f>IF($C$8="Single or Single Parent",VLOOKUP($C$7-$C$12,'RAP Guidelines'!$L$7:$X$16,7), VLOOKUP($C$7-$C$12,'RAP Guidelines'!$L$7:$X$16,11,FALSE))</f>
        <v>179.28</v>
      </c>
      <c r="D32" s="217">
        <f>IF($C$12&gt;0,(VLOOKUP(1,'RAP Guidelines'!$L$7:$X$16,7)*$C$12),0)</f>
        <v>0</v>
      </c>
      <c r="E32" s="219"/>
      <c r="F32" s="226">
        <f t="shared" si="4"/>
        <v>179.28</v>
      </c>
      <c r="G32" s="220"/>
      <c r="H32" s="219">
        <f t="shared" si="5"/>
        <v>179.28</v>
      </c>
      <c r="I32" s="314" t="str">
        <f>IF(G32&gt;(F32*'RAP Guidelines'!Y30),"Error: In-Kind Deduction Limit Exceeded","OK")</f>
        <v>OK</v>
      </c>
      <c r="J32" s="43">
        <f>F32*'RAP Guidelines'!Y30</f>
        <v>125.496</v>
      </c>
      <c r="K32" s="137"/>
    </row>
    <row r="33" spans="1:12" x14ac:dyDescent="0.25">
      <c r="B33" s="1" t="s">
        <v>54</v>
      </c>
      <c r="C33" s="217">
        <f>VLOOKUP($C$7-$C$12,'RAP Guidelines'!$L$7:$X$16,3)</f>
        <v>632.57000000000005</v>
      </c>
      <c r="D33" s="217">
        <f>IF($C$12&gt;0,(VLOOKUP(1,'RAP Guidelines'!$L$7:$X$16,3)*$C$12),0)</f>
        <v>0</v>
      </c>
      <c r="E33" s="219"/>
      <c r="F33" s="226">
        <f t="shared" si="4"/>
        <v>632.57000000000005</v>
      </c>
      <c r="G33" s="220"/>
      <c r="H33" s="219">
        <f t="shared" si="5"/>
        <v>632.57000000000005</v>
      </c>
      <c r="I33" s="314" t="str">
        <f>IF(G33&gt;(F33*'RAP Guidelines'!Y31),"Error: In-Kind Deduction Limit Exceeded","OK")</f>
        <v>OK</v>
      </c>
      <c r="J33" s="43">
        <f>F33*'RAP Guidelines'!Y31</f>
        <v>316.28500000000003</v>
      </c>
      <c r="K33" s="137"/>
    </row>
    <row r="34" spans="1:12" x14ac:dyDescent="0.25">
      <c r="B34" s="1" t="s">
        <v>55</v>
      </c>
      <c r="C34" s="217">
        <f>IF($C$8="Single or Single Parent",VLOOKUP($C$7-$C$12,'RAP Guidelines'!$L$7:$X$16,8), VLOOKUP($C$7-$C$12,'RAP Guidelines'!$L$7:$X$16,12,FALSE))</f>
        <v>1634.15</v>
      </c>
      <c r="D34" s="217">
        <f>IF($C$12&gt;0,(VLOOKUP(1,'RAP Guidelines'!$L$7:$X$16,8)*$C$12),0)</f>
        <v>0</v>
      </c>
      <c r="E34" s="219"/>
      <c r="F34" s="226">
        <f t="shared" si="4"/>
        <v>1634.15</v>
      </c>
      <c r="G34" s="220"/>
      <c r="H34" s="219">
        <f t="shared" si="5"/>
        <v>1634.15</v>
      </c>
      <c r="I34" s="314" t="str">
        <f>IF(G34&gt;(F34*'RAP Guidelines'!Y32),"Error: In-Kind Deduction Limit Exceeded","OK")</f>
        <v>OK</v>
      </c>
      <c r="J34" s="43">
        <f>F34*'RAP Guidelines'!Y32</f>
        <v>1143.905</v>
      </c>
      <c r="K34" s="137"/>
    </row>
    <row r="35" spans="1:12" x14ac:dyDescent="0.25">
      <c r="B35" s="1" t="s">
        <v>56</v>
      </c>
      <c r="C35" s="217">
        <f>VLOOKUP($C$7-$C$12,'RAP Guidelines'!$L$7:$X$16,4)</f>
        <v>84.34</v>
      </c>
      <c r="D35" s="217">
        <f>IF($C$12&gt;0,(VLOOKUP(1,'RAP Guidelines'!$L$7:$X$16,4)*$C$12),0)</f>
        <v>0</v>
      </c>
      <c r="E35" s="219"/>
      <c r="F35" s="226">
        <f t="shared" si="4"/>
        <v>84.34</v>
      </c>
      <c r="G35" s="220"/>
      <c r="H35" s="219">
        <f t="shared" si="5"/>
        <v>84.34</v>
      </c>
      <c r="I35" s="314" t="str">
        <f>IF(G35&gt;(F35*'RAP Guidelines'!Y33),"Error: In-Kind Deduction Limit Exceeded","OK")</f>
        <v>OK</v>
      </c>
      <c r="J35" s="43">
        <f>F35*'RAP Guidelines'!Y33</f>
        <v>84.34</v>
      </c>
      <c r="K35" s="137"/>
    </row>
    <row r="36" spans="1:12" x14ac:dyDescent="0.25">
      <c r="B36" s="1" t="s">
        <v>57</v>
      </c>
      <c r="C36" s="217">
        <f>VLOOKUP($C$7-$C$12,'RAP Guidelines'!$L$7:$X$16,5)</f>
        <v>84.56</v>
      </c>
      <c r="D36" s="217">
        <f>IF($C$12&gt;0,(VLOOKUP(1,'RAP Guidelines'!$L$7:$X$16,5)*$C$12),0)</f>
        <v>0</v>
      </c>
      <c r="E36" s="219"/>
      <c r="F36" s="226">
        <f t="shared" si="4"/>
        <v>84.56</v>
      </c>
      <c r="G36" s="221"/>
      <c r="H36" s="219">
        <f t="shared" si="5"/>
        <v>84.56</v>
      </c>
      <c r="I36" s="314" t="str">
        <f>IF(G36&gt;(F36*'RAP Guidelines'!Y34),"Error: In-Kind Deduction Limit Exceeded","OK")</f>
        <v>OK</v>
      </c>
      <c r="J36" s="43">
        <f>F36*'RAP Guidelines'!Y34</f>
        <v>84.56</v>
      </c>
      <c r="K36" s="137"/>
      <c r="L36" s="137"/>
    </row>
    <row r="37" spans="1:12" x14ac:dyDescent="0.25">
      <c r="B37" s="1" t="s">
        <v>58</v>
      </c>
      <c r="C37" s="217">
        <f>IF(C25="Yes",'RAP Guidelines'!$D43*$D25*C11,0)</f>
        <v>0</v>
      </c>
      <c r="D37" s="223" t="s">
        <v>33</v>
      </c>
      <c r="E37" s="219"/>
      <c r="F37" s="226">
        <f>C37</f>
        <v>0</v>
      </c>
      <c r="G37" s="221"/>
      <c r="H37" s="219">
        <f t="shared" si="5"/>
        <v>0</v>
      </c>
      <c r="I37" s="314" t="str">
        <f>IF(G37&gt;(F37*'RAP Guidelines'!Y35),"Error: In-Kind Deduction Limit Exceeded","OK")</f>
        <v>OK</v>
      </c>
      <c r="J37" s="43">
        <f>F37*'RAP Guidelines'!Y35</f>
        <v>0</v>
      </c>
      <c r="K37" s="137"/>
      <c r="L37" s="137"/>
    </row>
    <row r="38" spans="1:12" ht="15.75" thickBot="1" x14ac:dyDescent="0.3">
      <c r="B38" s="36" t="s">
        <v>59</v>
      </c>
      <c r="C38" s="218">
        <f t="shared" ref="C38:H38" si="6">SUM(C30:C37)</f>
        <v>3244.8100000000004</v>
      </c>
      <c r="D38" s="218">
        <f t="shared" si="6"/>
        <v>0</v>
      </c>
      <c r="E38" s="218"/>
      <c r="F38" s="218">
        <f t="shared" si="6"/>
        <v>3244.8100000000004</v>
      </c>
      <c r="G38" s="222">
        <f t="shared" si="6"/>
        <v>0</v>
      </c>
      <c r="H38" s="218">
        <f t="shared" si="6"/>
        <v>3244.8100000000004</v>
      </c>
      <c r="J38" s="282">
        <f>SUM(J30:J37)</f>
        <v>2146.375</v>
      </c>
      <c r="K38" s="137"/>
      <c r="L38" s="137"/>
    </row>
    <row r="39" spans="1:12" ht="7.5" customHeight="1" thickTop="1" x14ac:dyDescent="0.25">
      <c r="C39" s="43"/>
      <c r="D39" s="43"/>
      <c r="E39" s="43"/>
      <c r="F39" s="156"/>
      <c r="G39" s="156"/>
      <c r="H39" s="156"/>
      <c r="J39" s="43"/>
      <c r="K39" s="137"/>
      <c r="L39" s="137"/>
    </row>
    <row r="40" spans="1:12" ht="33.75" customHeight="1" x14ac:dyDescent="0.25">
      <c r="A40" s="249" t="s">
        <v>60</v>
      </c>
      <c r="B40" s="40"/>
      <c r="C40" s="337" t="s">
        <v>61</v>
      </c>
      <c r="D40" s="338"/>
      <c r="E40" s="246" t="s">
        <v>62</v>
      </c>
      <c r="F40" s="246" t="s">
        <v>45</v>
      </c>
      <c r="G40" s="246" t="s">
        <v>46</v>
      </c>
      <c r="H40" s="246" t="s">
        <v>47</v>
      </c>
      <c r="J40" s="43"/>
      <c r="K40" s="137"/>
      <c r="L40" s="137"/>
    </row>
    <row r="41" spans="1:12" ht="45" x14ac:dyDescent="0.25">
      <c r="B41" s="1" t="s">
        <v>63</v>
      </c>
      <c r="C41" s="217">
        <f>IF($C$13=2,'RAP Guidelines'!F24,IF(AND($C$13=1,$C$8="Couple"),'RAP Guidelines'!D24,IF(AND($C$13=1,$C$8="Single or Single Parent",$C$9=0),'RAP Guidelines'!B23,IF(AND($C$13=1,$C$9&gt;=1),'RAP Guidelines'!$H$23,IF(AND($C$13=0,$C$7=1),'RAP Guidelines'!B7,IF(AND($C$13=0,$C$7=2,$C$8="Single or Single Parent"),'RAP Guidelines'!B8,IF(AND($C$13=0,$C$7&gt;1,$C$8="Single or Single Parent"),'RAP Guidelines'!B8,'RAP Guidelines'!D8)))))))</f>
        <v>786</v>
      </c>
      <c r="D41" s="217" t="str">
        <f>IF($C$12&gt;0,$C$12*'RAP Guidelines'!B7,"")</f>
        <v/>
      </c>
      <c r="E41" s="226">
        <f>SUM(C41:D41)</f>
        <v>786</v>
      </c>
      <c r="F41" s="226">
        <f>E41*12</f>
        <v>9432</v>
      </c>
      <c r="G41" s="220">
        <v>0</v>
      </c>
      <c r="H41" s="224">
        <f>IF(F41-G41&gt;=0,F41-G41,0)</f>
        <v>9432</v>
      </c>
      <c r="I41" s="314" t="str">
        <f>IF(G41&gt;(F41*'RAP Guidelines'!Y23),"Error: In-Kind Deduction Limit Exceeded","OK")</f>
        <v>OK</v>
      </c>
      <c r="J41" s="43">
        <f>F41*'RAP Guidelines'!Y23</f>
        <v>4716</v>
      </c>
      <c r="K41" s="137" t="s">
        <v>64</v>
      </c>
      <c r="L41" s="137"/>
    </row>
    <row r="42" spans="1:12" x14ac:dyDescent="0.25">
      <c r="B42" s="1" t="s">
        <v>65</v>
      </c>
      <c r="C42" s="217">
        <f>IF($C$13&gt;0,VLOOKUP(C7-C12, 'RAP Guidelines'!A23:L32,10),IF($C$13=0, VLOOKUP(C7-C12, 'RAP Guidelines'!A7:H16,6),"Error"))</f>
        <v>582</v>
      </c>
      <c r="D42" s="217" t="str">
        <f>IF($C$12&gt;0,$C$12*'RAP Guidelines'!F7,"")</f>
        <v/>
      </c>
      <c r="E42" s="226">
        <f>SUM(C42:D42)</f>
        <v>582</v>
      </c>
      <c r="F42" s="226">
        <f>E42*12</f>
        <v>6984</v>
      </c>
      <c r="G42" s="220">
        <v>0</v>
      </c>
      <c r="H42" s="224">
        <f t="shared" ref="H42:H45" si="7">IF(F42-G42&gt;=0,F42-G42,0)</f>
        <v>6984</v>
      </c>
      <c r="I42" s="314" t="str">
        <f>IF(G42&gt;(F42*'RAP Guidelines'!Y24),"Error: In-Kind Deduction Limit Exceeded","OK")</f>
        <v>OK</v>
      </c>
      <c r="J42" s="43">
        <f>F42*'RAP Guidelines'!Y24</f>
        <v>6984</v>
      </c>
      <c r="K42" s="137"/>
      <c r="L42" s="137"/>
    </row>
    <row r="43" spans="1:12" x14ac:dyDescent="0.25">
      <c r="B43" s="1" t="s">
        <v>66</v>
      </c>
      <c r="C43" s="217">
        <f>'RAP Guidelines'!$G$7</f>
        <v>79.069999999999993</v>
      </c>
      <c r="D43" s="217" t="str">
        <f>IF($C$12&gt;0,$C$12*'RAP Guidelines'!$G$7,"")</f>
        <v/>
      </c>
      <c r="E43" s="226">
        <f>SUM(C43:D43)</f>
        <v>79.069999999999993</v>
      </c>
      <c r="F43" s="226">
        <f>E43*12</f>
        <v>948.83999999999992</v>
      </c>
      <c r="G43" s="223">
        <v>0</v>
      </c>
      <c r="H43" s="224">
        <f>F43</f>
        <v>948.83999999999992</v>
      </c>
      <c r="I43" s="314" t="str">
        <f>IF(G43&gt;(F43*'RAP Guidelines'!Y25),"Error: In-Kind Deduction Limit Exceeded","OK")</f>
        <v>OK</v>
      </c>
      <c r="J43" s="43">
        <f>F43*'RAP Guidelines'!Y25</f>
        <v>0</v>
      </c>
      <c r="K43" s="137"/>
      <c r="L43" s="137"/>
    </row>
    <row r="44" spans="1:12" x14ac:dyDescent="0.25">
      <c r="B44" s="1" t="s">
        <v>67</v>
      </c>
      <c r="C44" s="217">
        <f>IF(C8="Couple",C15*2,C15)</f>
        <v>156</v>
      </c>
      <c r="D44" s="217">
        <f>IF(C12&gt;0,C12*C15,0)</f>
        <v>0</v>
      </c>
      <c r="E44" s="226">
        <f>SUM(C44:D44)</f>
        <v>156</v>
      </c>
      <c r="F44" s="226">
        <f>E44*12</f>
        <v>1872</v>
      </c>
      <c r="G44" s="220">
        <v>0</v>
      </c>
      <c r="H44" s="224">
        <f t="shared" si="7"/>
        <v>1872</v>
      </c>
      <c r="I44" s="314" t="str">
        <f>IF(G44&gt;(F44*'RAP Guidelines'!Y26),"Error: In-Kind Deduction Limit Exceeded","OK")</f>
        <v>OK</v>
      </c>
      <c r="J44" s="43">
        <f>F44*'RAP Guidelines'!Y26</f>
        <v>0</v>
      </c>
      <c r="K44" s="137"/>
      <c r="L44" s="137"/>
    </row>
    <row r="45" spans="1:12" x14ac:dyDescent="0.25">
      <c r="B45" s="1" t="s">
        <v>68</v>
      </c>
      <c r="C45" s="217">
        <f>IF(C16&lt;=C42,0, IF(AND(C16-C42&gt;0,C16-C42&lt; 'RAP Guidelines'!H7), C16-C42,'RAP Guidelines'!H7))</f>
        <v>500</v>
      </c>
      <c r="D45" s="217">
        <f>IF(C12=0,0, IF(C16&gt;(E42+C45+C12*'RAP Guidelines'!H7),C12*'RAP Guidelines'!H7, IF(C16-E42-C45&gt;0,C16-E42-C45,0)))</f>
        <v>0</v>
      </c>
      <c r="E45" s="226">
        <f>SUM(C45:D45)</f>
        <v>500</v>
      </c>
      <c r="F45" s="226">
        <f>E45*12</f>
        <v>6000</v>
      </c>
      <c r="G45" s="220">
        <v>0</v>
      </c>
      <c r="H45" s="224">
        <f t="shared" si="7"/>
        <v>6000</v>
      </c>
      <c r="I45" s="314" t="str">
        <f>IF(G45&gt;(F45*'RAP Guidelines'!Y27),"Error: In-Kind Deduction Limit Exceeded","OK")</f>
        <v>OK</v>
      </c>
      <c r="J45" s="43">
        <f>F45*'RAP Guidelines'!Y27</f>
        <v>6000</v>
      </c>
      <c r="K45" s="137"/>
      <c r="L45" s="137"/>
    </row>
    <row r="46" spans="1:12" ht="15.75" thickBot="1" x14ac:dyDescent="0.3">
      <c r="B46" s="36" t="s">
        <v>69</v>
      </c>
      <c r="C46" s="218">
        <f t="shared" ref="C46:H46" si="8">SUM(C41:C45)</f>
        <v>2103.0699999999997</v>
      </c>
      <c r="D46" s="218">
        <f t="shared" si="8"/>
        <v>0</v>
      </c>
      <c r="E46" s="218">
        <f t="shared" si="8"/>
        <v>2103.0699999999997</v>
      </c>
      <c r="F46" s="218">
        <f t="shared" si="8"/>
        <v>25236.84</v>
      </c>
      <c r="G46" s="222">
        <f t="shared" si="8"/>
        <v>0</v>
      </c>
      <c r="H46" s="225">
        <f t="shared" si="8"/>
        <v>25236.84</v>
      </c>
      <c r="J46" s="201">
        <f>SUM(J41:J45)</f>
        <v>17700</v>
      </c>
      <c r="K46" s="137"/>
      <c r="L46" s="137"/>
    </row>
    <row r="47" spans="1:12" ht="5.25" customHeight="1" thickTop="1" x14ac:dyDescent="0.25">
      <c r="A47" s="2"/>
    </row>
    <row r="48" spans="1:12" ht="33" customHeight="1" x14ac:dyDescent="0.25">
      <c r="A48" s="249" t="s">
        <v>25</v>
      </c>
      <c r="B48" s="40"/>
      <c r="C48" s="272"/>
      <c r="D48" s="273"/>
      <c r="E48" s="239"/>
      <c r="F48" s="246" t="s">
        <v>45</v>
      </c>
      <c r="G48" s="246" t="s">
        <v>46</v>
      </c>
      <c r="H48" s="246" t="s">
        <v>47</v>
      </c>
    </row>
    <row r="49" spans="1:18" x14ac:dyDescent="0.25">
      <c r="B49" s="1" t="s">
        <v>29</v>
      </c>
      <c r="C49" s="236" t="s">
        <v>33</v>
      </c>
      <c r="D49" s="236" t="s">
        <v>33</v>
      </c>
      <c r="E49" s="236" t="s">
        <v>33</v>
      </c>
      <c r="F49" s="233">
        <f>IF(C21="Yes",'RAP Guidelines'!$D39*$D21,0)</f>
        <v>0</v>
      </c>
      <c r="G49" s="229">
        <v>0</v>
      </c>
      <c r="H49" s="231">
        <f t="shared" ref="H49:H53" si="9">IF(F49-G49&gt;=0,F49-G49,0)</f>
        <v>0</v>
      </c>
      <c r="I49" s="314" t="s">
        <v>33</v>
      </c>
    </row>
    <row r="50" spans="1:18" x14ac:dyDescent="0.25">
      <c r="B50" s="1" t="s">
        <v>32</v>
      </c>
      <c r="C50" s="236" t="s">
        <v>33</v>
      </c>
      <c r="D50" s="236" t="s">
        <v>33</v>
      </c>
      <c r="E50" s="236" t="s">
        <v>33</v>
      </c>
      <c r="F50" s="233">
        <f>IF(C22="Yes",'RAP Guidelines'!D40,0)</f>
        <v>0</v>
      </c>
      <c r="G50" s="229">
        <v>0</v>
      </c>
      <c r="H50" s="231">
        <f t="shared" si="9"/>
        <v>0</v>
      </c>
      <c r="I50" s="314" t="s">
        <v>33</v>
      </c>
    </row>
    <row r="51" spans="1:18" x14ac:dyDescent="0.25">
      <c r="B51" s="1" t="s">
        <v>35</v>
      </c>
      <c r="C51" s="236" t="s">
        <v>33</v>
      </c>
      <c r="D51" s="236" t="s">
        <v>33</v>
      </c>
      <c r="E51" s="236" t="s">
        <v>33</v>
      </c>
      <c r="F51" s="233">
        <f>IF(C23="Yes",'RAP Guidelines'!D41,0)</f>
        <v>0</v>
      </c>
      <c r="G51" s="229">
        <v>0</v>
      </c>
      <c r="H51" s="231">
        <f t="shared" si="9"/>
        <v>0</v>
      </c>
      <c r="I51" s="314" t="s">
        <v>33</v>
      </c>
    </row>
    <row r="52" spans="1:18" x14ac:dyDescent="0.25">
      <c r="B52" s="1" t="s">
        <v>37</v>
      </c>
      <c r="C52" s="236" t="s">
        <v>33</v>
      </c>
      <c r="D52" s="236" t="s">
        <v>33</v>
      </c>
      <c r="E52" s="236" t="s">
        <v>33</v>
      </c>
      <c r="F52" s="233">
        <f>IF(C24="Yes",'RAP Guidelines'!$D42*$D24,0)</f>
        <v>0</v>
      </c>
      <c r="G52" s="229">
        <v>0</v>
      </c>
      <c r="H52" s="231">
        <f t="shared" si="9"/>
        <v>0</v>
      </c>
      <c r="I52" s="314" t="s">
        <v>33</v>
      </c>
    </row>
    <row r="53" spans="1:18" x14ac:dyDescent="0.25">
      <c r="B53" s="1" t="s">
        <v>70</v>
      </c>
      <c r="C53" s="236" t="s">
        <v>33</v>
      </c>
      <c r="D53" s="236" t="s">
        <v>33</v>
      </c>
      <c r="E53" s="236" t="s">
        <v>33</v>
      </c>
      <c r="F53" s="233">
        <v>0</v>
      </c>
      <c r="G53" s="229">
        <v>0</v>
      </c>
      <c r="H53" s="231">
        <f t="shared" si="9"/>
        <v>0</v>
      </c>
      <c r="I53" s="314" t="s">
        <v>33</v>
      </c>
    </row>
    <row r="54" spans="1:18" x14ac:dyDescent="0.25">
      <c r="B54" s="14" t="s">
        <v>71</v>
      </c>
      <c r="C54" s="230" t="s">
        <v>33</v>
      </c>
      <c r="D54" s="230" t="s">
        <v>33</v>
      </c>
      <c r="E54" s="230" t="s">
        <v>33</v>
      </c>
      <c r="F54" s="234">
        <f t="shared" ref="F54:H54" si="10">SUM(F49:F53)</f>
        <v>0</v>
      </c>
      <c r="G54" s="230">
        <f t="shared" si="10"/>
        <v>0</v>
      </c>
      <c r="H54" s="230">
        <f t="shared" si="10"/>
        <v>0</v>
      </c>
    </row>
    <row r="55" spans="1:18" ht="15.75" thickBot="1" x14ac:dyDescent="0.3">
      <c r="A55" s="11" t="s">
        <v>72</v>
      </c>
      <c r="B55" s="11"/>
      <c r="C55" s="237"/>
      <c r="D55" s="237"/>
      <c r="E55" s="237"/>
      <c r="F55" s="235">
        <f>F38+F46+F54</f>
        <v>28481.65</v>
      </c>
      <c r="G55" s="235">
        <f>G38+G46+G54</f>
        <v>0</v>
      </c>
      <c r="H55" s="232">
        <f>H38+H46+H54</f>
        <v>28481.65</v>
      </c>
    </row>
    <row r="56" spans="1:18" ht="15.75" thickTop="1" x14ac:dyDescent="0.25">
      <c r="A56" s="2"/>
      <c r="B56" s="2" t="s">
        <v>73</v>
      </c>
      <c r="C56" s="238"/>
      <c r="D56" s="238"/>
      <c r="E56" s="238"/>
      <c r="F56" s="238"/>
      <c r="G56" s="238"/>
      <c r="H56" s="214">
        <f>C18</f>
        <v>0</v>
      </c>
    </row>
    <row r="57" spans="1:18" ht="15.75" thickBot="1" x14ac:dyDescent="0.3">
      <c r="A57" s="11" t="s">
        <v>74</v>
      </c>
      <c r="B57" s="11"/>
      <c r="C57" s="237"/>
      <c r="D57" s="237"/>
      <c r="E57" s="237"/>
      <c r="F57" s="237"/>
      <c r="G57" s="237"/>
      <c r="H57" s="18">
        <f>H55-H56</f>
        <v>28481.65</v>
      </c>
    </row>
    <row r="58" spans="1:18" ht="15.75" thickTop="1" x14ac:dyDescent="0.25"/>
    <row r="59" spans="1:18" ht="30" customHeight="1" x14ac:dyDescent="0.25">
      <c r="A59" s="333" t="s">
        <v>75</v>
      </c>
      <c r="B59" s="334"/>
      <c r="C59" s="337" t="s">
        <v>76</v>
      </c>
      <c r="D59" s="338"/>
      <c r="E59" s="338"/>
      <c r="F59" s="338"/>
      <c r="G59" s="338"/>
      <c r="H59" s="339"/>
      <c r="M59" s="51"/>
      <c r="N59" s="51"/>
      <c r="O59" s="51"/>
      <c r="P59" s="51"/>
      <c r="Q59" s="51"/>
      <c r="R59" s="51"/>
    </row>
    <row r="60" spans="1:18" ht="38.25" customHeight="1" x14ac:dyDescent="0.25">
      <c r="A60" s="335"/>
      <c r="B60" s="336"/>
      <c r="C60" s="246" t="s">
        <v>42</v>
      </c>
      <c r="D60" s="246" t="s">
        <v>77</v>
      </c>
      <c r="E60" s="246" t="s">
        <v>78</v>
      </c>
      <c r="F60" s="246" t="s">
        <v>79</v>
      </c>
      <c r="G60" s="246" t="s">
        <v>80</v>
      </c>
      <c r="H60" s="246" t="s">
        <v>44</v>
      </c>
      <c r="M60" s="51"/>
      <c r="N60" s="51"/>
      <c r="O60" s="51"/>
      <c r="P60" s="51"/>
      <c r="Q60" s="51"/>
      <c r="R60" s="51"/>
    </row>
    <row r="61" spans="1:18" x14ac:dyDescent="0.25">
      <c r="B61" s="1" t="s">
        <v>81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  <c r="H61" s="161">
        <f>SUM(C61:G61)</f>
        <v>0</v>
      </c>
      <c r="M61" s="51"/>
      <c r="N61" s="51"/>
      <c r="O61" s="51"/>
      <c r="P61" s="51"/>
      <c r="Q61" s="51"/>
      <c r="R61" s="51"/>
    </row>
    <row r="62" spans="1:18" x14ac:dyDescent="0.25">
      <c r="B62" s="1" t="s">
        <v>82</v>
      </c>
      <c r="C62" s="177">
        <f>IF(C7&gt;0,C46*0.5,0)</f>
        <v>1051.5349999999999</v>
      </c>
      <c r="D62" s="177">
        <f>IF($C$12&gt;0,$D$46/$C$12*0.5,0)</f>
        <v>0</v>
      </c>
      <c r="E62" s="177">
        <f>IF($C$12&gt;1,$D$46/$C$12*0.5,0)</f>
        <v>0</v>
      </c>
      <c r="F62" s="177">
        <f>IF($C$12&gt;2,$D$46/$C$12*0.5,0)</f>
        <v>0</v>
      </c>
      <c r="G62" s="177">
        <f>IF($C$12&gt;3,$D$46/$C$12*0.5,0)</f>
        <v>0</v>
      </c>
      <c r="H62" s="178">
        <f>SUM(C62:G62)</f>
        <v>1051.5349999999999</v>
      </c>
      <c r="M62" s="51"/>
      <c r="N62" s="51"/>
      <c r="O62" s="51"/>
      <c r="P62" s="51"/>
      <c r="Q62" s="51"/>
      <c r="R62" s="51"/>
    </row>
    <row r="63" spans="1:18" ht="15.75" thickBot="1" x14ac:dyDescent="0.3">
      <c r="A63" s="11"/>
      <c r="B63" s="11" t="s">
        <v>83</v>
      </c>
      <c r="C63" s="179">
        <f>IF(C$61&gt;(C$46*0.5),C$61-(C$46*0.5),0)</f>
        <v>0</v>
      </c>
      <c r="D63" s="179">
        <f>IF(AND(D61&gt;0,D$61&gt;D$62),D$61-D$62,0)</f>
        <v>0</v>
      </c>
      <c r="E63" s="179">
        <f>IF(AND(E61&gt;0,E62&gt;0,E$61&gt;E$62),E$61-E$62,0)</f>
        <v>0</v>
      </c>
      <c r="F63" s="179">
        <f t="shared" ref="F63:H63" si="11">IF(AND(F61&gt;0,F62&gt;0,F$61&gt;F$62),F$61-F$62,0)</f>
        <v>0</v>
      </c>
      <c r="G63" s="179">
        <f t="shared" si="11"/>
        <v>0</v>
      </c>
      <c r="H63" s="179">
        <f t="shared" si="11"/>
        <v>0</v>
      </c>
      <c r="M63" s="51"/>
      <c r="N63" s="51"/>
      <c r="O63" s="51"/>
      <c r="P63" s="51"/>
      <c r="Q63" s="51"/>
      <c r="R63" s="51"/>
    </row>
    <row r="64" spans="1:18" ht="15.75" thickTop="1" x14ac:dyDescent="0.25">
      <c r="D64" s="191" t="str">
        <f>IF(AND(C12&lt;1,D61&gt;0), "ERROR - Adjust Adult Dependent Figure in C11", "OK")</f>
        <v>OK</v>
      </c>
      <c r="E64" s="191" t="str">
        <f>IF(AND(C12&lt;2,E61&gt;0), "ERROR - Adjust Adult Dependent Figure in C11", "OK")</f>
        <v>OK</v>
      </c>
      <c r="F64" s="191" t="str">
        <f>IF(AND(C12&lt;3,F61&gt;0), "ERROR - Adjust Adult Dependent Figure in C11", "OK")</f>
        <v>OK</v>
      </c>
      <c r="G64" s="191" t="str">
        <f>IF(AND(C12&lt;4,G61&gt;0), "ERROR - Adjust Adult Dependent Figure in C11", "OK")</f>
        <v>OK</v>
      </c>
    </row>
  </sheetData>
  <mergeCells count="12">
    <mergeCell ref="N3:N6"/>
    <mergeCell ref="O3:O6"/>
    <mergeCell ref="M1:P1"/>
    <mergeCell ref="P3:P6"/>
    <mergeCell ref="A59:B60"/>
    <mergeCell ref="C59:H59"/>
    <mergeCell ref="C40:D40"/>
    <mergeCell ref="E29:F29"/>
    <mergeCell ref="M3:M6"/>
    <mergeCell ref="D3:F3"/>
    <mergeCell ref="F20:H20"/>
    <mergeCell ref="A1:K1"/>
  </mergeCells>
  <dataValidations count="3">
    <dataValidation type="whole" allowBlank="1" showInputMessage="1" showErrorMessage="1" sqref="C7 M7:N7 M8:M13" xr:uid="{00000000-0002-0000-0100-000000000000}">
      <formula1>1</formula1>
      <formula2>15</formula2>
    </dataValidation>
    <dataValidation type="list" allowBlank="1" showInputMessage="1" showErrorMessage="1" sqref="C8 N8" xr:uid="{00000000-0002-0000-0100-000001000000}">
      <formula1>"Single or Single Parent, Couple"</formula1>
    </dataValidation>
    <dataValidation type="list" allowBlank="1" showInputMessage="1" showErrorMessage="1" sqref="C21:C24 M21:M24 O21:O24" xr:uid="{00000000-0002-0000-0100-000002000000}">
      <formula1>"Yes, No"</formula1>
    </dataValidation>
  </dataValidations>
  <pageMargins left="0.7" right="0.7" top="0.75" bottom="0.75" header="0.3" footer="0.3"/>
  <pageSetup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="160" zoomScaleNormal="160" workbookViewId="0">
      <selection activeCell="E5" sqref="E5"/>
    </sheetView>
  </sheetViews>
  <sheetFormatPr defaultRowHeight="15" x14ac:dyDescent="0.25"/>
  <sheetData>
    <row r="1" spans="1:5" ht="18.75" x14ac:dyDescent="0.25">
      <c r="A1" s="24" t="s">
        <v>84</v>
      </c>
      <c r="B1" s="25"/>
      <c r="C1" s="25"/>
      <c r="D1" s="26"/>
    </row>
    <row r="2" spans="1:5" x14ac:dyDescent="0.25">
      <c r="A2" s="1"/>
      <c r="B2" s="1"/>
      <c r="C2" s="1"/>
      <c r="D2" s="1"/>
    </row>
    <row r="3" spans="1:5" ht="60" x14ac:dyDescent="0.25">
      <c r="A3" s="102" t="s">
        <v>85</v>
      </c>
      <c r="B3" s="102" t="s">
        <v>86</v>
      </c>
      <c r="C3" s="102" t="s">
        <v>87</v>
      </c>
      <c r="D3" s="102" t="s">
        <v>88</v>
      </c>
      <c r="E3" s="102" t="s">
        <v>89</v>
      </c>
    </row>
    <row r="4" spans="1:5" x14ac:dyDescent="0.25">
      <c r="A4" s="27">
        <v>1</v>
      </c>
      <c r="B4" s="28">
        <v>10700</v>
      </c>
      <c r="C4" s="28">
        <v>2800</v>
      </c>
      <c r="D4" s="28">
        <f>2400</f>
        <v>2400</v>
      </c>
      <c r="E4" s="28">
        <f>SUM(B4:D4)</f>
        <v>15900</v>
      </c>
    </row>
    <row r="5" spans="1:5" x14ac:dyDescent="0.25">
      <c r="A5" s="27">
        <v>2</v>
      </c>
      <c r="B5" s="28">
        <v>18000</v>
      </c>
      <c r="C5" s="28">
        <v>4400</v>
      </c>
      <c r="D5" s="28">
        <f>2400</f>
        <v>2400</v>
      </c>
      <c r="E5" s="28">
        <f t="shared" ref="E5:E13" si="0">SUM(B5:D5)</f>
        <v>24800</v>
      </c>
    </row>
    <row r="6" spans="1:5" x14ac:dyDescent="0.25">
      <c r="A6" s="27">
        <v>3</v>
      </c>
      <c r="B6" s="28">
        <v>18900</v>
      </c>
      <c r="C6" s="28">
        <v>5300</v>
      </c>
      <c r="D6" s="28">
        <f>2400</f>
        <v>2400</v>
      </c>
      <c r="E6" s="28">
        <f t="shared" si="0"/>
        <v>26600</v>
      </c>
    </row>
    <row r="7" spans="1:5" x14ac:dyDescent="0.25">
      <c r="A7" s="117">
        <v>4</v>
      </c>
      <c r="B7" s="118">
        <v>21200</v>
      </c>
      <c r="C7" s="118">
        <v>7000</v>
      </c>
      <c r="D7" s="28">
        <f>2400</f>
        <v>2400</v>
      </c>
      <c r="E7" s="28">
        <f t="shared" si="0"/>
        <v>30600</v>
      </c>
    </row>
    <row r="8" spans="1:5" x14ac:dyDescent="0.25">
      <c r="A8" s="27">
        <v>5</v>
      </c>
      <c r="B8" s="28">
        <v>23700</v>
      </c>
      <c r="C8" s="28">
        <v>7200</v>
      </c>
      <c r="D8" s="28">
        <f>2400</f>
        <v>2400</v>
      </c>
      <c r="E8" s="28">
        <f t="shared" si="0"/>
        <v>33300</v>
      </c>
    </row>
    <row r="9" spans="1:5" x14ac:dyDescent="0.25">
      <c r="A9" s="27">
        <v>6</v>
      </c>
      <c r="B9" s="28">
        <v>25700</v>
      </c>
      <c r="C9" s="28">
        <v>8000</v>
      </c>
      <c r="D9" s="28">
        <f>2400</f>
        <v>2400</v>
      </c>
      <c r="E9" s="28">
        <f t="shared" si="0"/>
        <v>36100</v>
      </c>
    </row>
    <row r="10" spans="1:5" x14ac:dyDescent="0.25">
      <c r="A10" s="27">
        <v>7</v>
      </c>
      <c r="B10" s="28">
        <v>25700</v>
      </c>
      <c r="C10" s="28">
        <f>C9+$C$15</f>
        <v>8000</v>
      </c>
      <c r="D10" s="28">
        <f>2400</f>
        <v>2400</v>
      </c>
      <c r="E10" s="28">
        <f t="shared" si="0"/>
        <v>36100</v>
      </c>
    </row>
    <row r="11" spans="1:5" x14ac:dyDescent="0.25">
      <c r="A11" s="27">
        <v>8</v>
      </c>
      <c r="B11" s="28">
        <v>25700</v>
      </c>
      <c r="C11" s="28">
        <f t="shared" ref="C11:C13" si="1">C10+$C$15</f>
        <v>8000</v>
      </c>
      <c r="D11" s="28">
        <f>2400</f>
        <v>2400</v>
      </c>
      <c r="E11" s="28">
        <f t="shared" si="0"/>
        <v>36100</v>
      </c>
    </row>
    <row r="12" spans="1:5" x14ac:dyDescent="0.25">
      <c r="A12" s="27">
        <v>9</v>
      </c>
      <c r="B12" s="28">
        <v>25700</v>
      </c>
      <c r="C12" s="28">
        <f t="shared" si="1"/>
        <v>8000</v>
      </c>
      <c r="D12" s="28">
        <f>2400</f>
        <v>2400</v>
      </c>
      <c r="E12" s="28">
        <f t="shared" si="0"/>
        <v>36100</v>
      </c>
    </row>
    <row r="13" spans="1:5" x14ac:dyDescent="0.25">
      <c r="A13" s="27">
        <v>10</v>
      </c>
      <c r="B13" s="28">
        <v>25700</v>
      </c>
      <c r="C13" s="28">
        <f t="shared" si="1"/>
        <v>8000</v>
      </c>
      <c r="D13" s="28">
        <f>2400</f>
        <v>2400</v>
      </c>
      <c r="E13" s="28">
        <f t="shared" si="0"/>
        <v>36100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64"/>
  <sheetViews>
    <sheetView zoomScale="55" zoomScaleNormal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ColWidth="9.140625" defaultRowHeight="15" outlineLevelCol="1" x14ac:dyDescent="0.25"/>
  <cols>
    <col min="1" max="1" width="4" style="1" customWidth="1"/>
    <col min="2" max="2" width="75.28515625" style="1" customWidth="1"/>
    <col min="3" max="3" width="37.28515625" style="1" customWidth="1"/>
    <col min="4" max="4" width="32.7109375" style="1" customWidth="1"/>
    <col min="5" max="5" width="30.85546875" style="1" customWidth="1"/>
    <col min="6" max="6" width="30.140625" style="51" customWidth="1"/>
    <col min="7" max="7" width="31.42578125" style="51" customWidth="1"/>
    <col min="8" max="8" width="30.140625" style="51" customWidth="1"/>
    <col min="9" max="9" width="6.42578125" style="51" customWidth="1"/>
    <col min="10" max="10" width="18.5703125" customWidth="1"/>
    <col min="11" max="11" width="27.28515625" style="92" customWidth="1"/>
    <col min="12" max="12" width="2.42578125" style="92" customWidth="1"/>
    <col min="13" max="13" width="28.28515625" style="1" customWidth="1"/>
    <col min="14" max="14" width="28.5703125" style="1" customWidth="1"/>
    <col min="15" max="15" width="6.28515625" style="1" customWidth="1"/>
    <col min="16" max="26" width="9.42578125" style="1" hidden="1" customWidth="1" outlineLevel="1"/>
    <col min="27" max="28" width="9.140625" style="1" hidden="1" customWidth="1" outlineLevel="1"/>
    <col min="29" max="29" width="9.140625" style="1" collapsed="1"/>
    <col min="30" max="16384" width="9.140625" style="1"/>
  </cols>
  <sheetData>
    <row r="1" spans="1:28" s="50" customFormat="1" ht="43.5" customHeight="1" x14ac:dyDescent="0.25">
      <c r="A1" s="277" t="s">
        <v>90</v>
      </c>
      <c r="B1" s="278"/>
      <c r="C1" s="278"/>
      <c r="D1" s="278"/>
      <c r="E1" s="278"/>
      <c r="F1" s="279"/>
      <c r="G1" s="279"/>
      <c r="H1" s="279"/>
      <c r="I1" s="279"/>
      <c r="K1" s="286"/>
      <c r="L1" s="286"/>
      <c r="M1" s="351"/>
      <c r="N1" s="351"/>
      <c r="O1" s="1"/>
      <c r="P1" s="1"/>
      <c r="Q1" s="1"/>
      <c r="R1" s="1"/>
      <c r="S1" s="1"/>
      <c r="T1" s="1"/>
      <c r="U1" s="1"/>
      <c r="V1" s="1"/>
      <c r="W1" s="1"/>
    </row>
    <row r="2" spans="1:28" ht="5.25" customHeight="1" x14ac:dyDescent="0.25">
      <c r="A2" s="139"/>
      <c r="I2" s="1"/>
    </row>
    <row r="3" spans="1:28" ht="84.75" customHeight="1" x14ac:dyDescent="0.25">
      <c r="A3" s="272"/>
      <c r="B3" s="239"/>
      <c r="C3" s="283" t="s">
        <v>2</v>
      </c>
      <c r="D3" s="255" t="s">
        <v>3</v>
      </c>
      <c r="E3" s="255" t="s">
        <v>3</v>
      </c>
      <c r="F3" s="255" t="s">
        <v>3</v>
      </c>
      <c r="I3" s="1"/>
      <c r="M3" s="298"/>
      <c r="N3" s="298"/>
    </row>
    <row r="4" spans="1:28" ht="32.25" customHeight="1" x14ac:dyDescent="0.25">
      <c r="A4" s="242" t="s">
        <v>6</v>
      </c>
      <c r="B4" s="239"/>
      <c r="C4" s="305">
        <f>'User Input Sheet'!C4</f>
        <v>0</v>
      </c>
      <c r="D4" s="257"/>
      <c r="E4" s="258"/>
      <c r="F4" s="259"/>
      <c r="I4" s="1"/>
      <c r="M4" s="299"/>
      <c r="N4" s="51"/>
    </row>
    <row r="5" spans="1:28" ht="32.25" customHeight="1" x14ac:dyDescent="0.25">
      <c r="A5" s="242" t="s">
        <v>7</v>
      </c>
      <c r="B5" s="240"/>
      <c r="C5" s="305">
        <f>'User Input Sheet'!C5</f>
        <v>0</v>
      </c>
      <c r="D5" s="260"/>
      <c r="E5" s="256"/>
      <c r="F5" s="261"/>
      <c r="I5" s="1"/>
      <c r="M5" s="299"/>
      <c r="N5" s="51"/>
    </row>
    <row r="6" spans="1:28" ht="32.25" customHeight="1" x14ac:dyDescent="0.25">
      <c r="A6" s="242" t="s">
        <v>8</v>
      </c>
      <c r="B6" s="240"/>
      <c r="C6" s="305">
        <f>'User Input Sheet'!C6</f>
        <v>0</v>
      </c>
      <c r="D6" s="260"/>
      <c r="E6" s="256"/>
      <c r="F6" s="261"/>
      <c r="I6" s="152"/>
      <c r="M6" s="289"/>
      <c r="N6" s="51"/>
    </row>
    <row r="7" spans="1:28" ht="32.25" customHeight="1" x14ac:dyDescent="0.25">
      <c r="A7" s="242" t="s">
        <v>9</v>
      </c>
      <c r="B7" s="240"/>
      <c r="C7" s="306">
        <f>'User Input Sheet'!M7</f>
        <v>1</v>
      </c>
      <c r="D7" s="262" t="str">
        <f>IF(AND(C8="Couple",2+C9=C7),"OK",IF(1+C9=C7, "OK", "Review: Family Size,  Family Composition &amp; Number of Children"))</f>
        <v>OK</v>
      </c>
      <c r="E7" s="256"/>
      <c r="F7" s="261"/>
      <c r="I7" s="1"/>
      <c r="M7" s="289"/>
      <c r="N7" s="300"/>
    </row>
    <row r="8" spans="1:28" ht="32.25" customHeight="1" x14ac:dyDescent="0.25">
      <c r="A8" s="242" t="s">
        <v>10</v>
      </c>
      <c r="B8" s="240"/>
      <c r="C8" s="306" t="str">
        <f>'User Input Sheet'!M8</f>
        <v>Single or Single Parent</v>
      </c>
      <c r="D8" s="262" t="str">
        <f>IF(AND(C8="Couple",C7=1),"ERROR - Family Size does not match Family Composition","OK")</f>
        <v>OK</v>
      </c>
      <c r="E8" s="256"/>
      <c r="F8" s="261"/>
      <c r="I8" s="140"/>
      <c r="M8" s="289"/>
      <c r="N8" s="300"/>
      <c r="P8" s="140"/>
      <c r="Q8" s="140"/>
      <c r="R8" s="140"/>
      <c r="S8" s="140"/>
      <c r="T8" s="140"/>
      <c r="U8" s="140"/>
      <c r="V8" s="140"/>
      <c r="W8" s="140"/>
    </row>
    <row r="9" spans="1:28" ht="32.25" customHeight="1" x14ac:dyDescent="0.25">
      <c r="A9" s="242" t="s">
        <v>13</v>
      </c>
      <c r="B9" s="240"/>
      <c r="C9" s="306">
        <f>'User Input Sheet'!M9</f>
        <v>0</v>
      </c>
      <c r="D9" s="262" t="str">
        <f>IF(C9&gt;C7-1,"ERROR - Number of Children does not correspond with Family Size","OK")</f>
        <v>OK</v>
      </c>
      <c r="E9" s="228" t="str">
        <f>IF(AND(C8="Single or Single Parent",C7-C9&lt;&gt;1),"ERROR - In Either Family Size, Family Composition and/or Number of Children ","OK")</f>
        <v>OK</v>
      </c>
      <c r="F9" s="263" t="str">
        <f>IF(AND(C8="Couple",C7-C9&lt;=1),"ERROR - In Either Family Size, Family Composition and/or Number of Children ","OK")</f>
        <v>OK</v>
      </c>
      <c r="I9" s="1"/>
      <c r="M9" s="289"/>
      <c r="N9" s="300"/>
    </row>
    <row r="10" spans="1:28" ht="32.25" customHeight="1" x14ac:dyDescent="0.25">
      <c r="A10" s="242" t="s">
        <v>14</v>
      </c>
      <c r="B10" s="240"/>
      <c r="C10" s="306">
        <f>'User Input Sheet'!M10</f>
        <v>0</v>
      </c>
      <c r="D10" s="262" t="str">
        <f>IF(C9-C11-C12=C10,"OK", "Review: # of Children, # of Pre-School Age Children, # of School Age Children, and # of Children 18-21")</f>
        <v>OK</v>
      </c>
      <c r="E10" s="228"/>
      <c r="F10" s="261"/>
      <c r="G10" s="1"/>
      <c r="H10" s="1"/>
      <c r="I10" s="1"/>
      <c r="J10" s="1"/>
      <c r="K10" s="137"/>
      <c r="L10" s="137"/>
      <c r="M10" s="289"/>
      <c r="N10" s="300"/>
    </row>
    <row r="11" spans="1:28" ht="32.25" customHeight="1" x14ac:dyDescent="0.25">
      <c r="A11" s="242" t="s">
        <v>15</v>
      </c>
      <c r="B11" s="240"/>
      <c r="C11" s="306">
        <f>'User Input Sheet'!M11</f>
        <v>0</v>
      </c>
      <c r="D11" s="262" t="str">
        <f>IF(AND(C8="Couple",C11=C9-C10-C12-2),"Review: # of Children, # of Pre-School Age Children, # of School Age Children, and # of Children 18-21","OK")</f>
        <v>OK</v>
      </c>
      <c r="E11" s="256"/>
      <c r="F11" s="261"/>
      <c r="I11" s="1"/>
      <c r="M11" s="289"/>
      <c r="N11" s="300"/>
    </row>
    <row r="12" spans="1:28" ht="32.25" customHeight="1" x14ac:dyDescent="0.25">
      <c r="A12" s="242" t="s">
        <v>16</v>
      </c>
      <c r="B12" s="240"/>
      <c r="C12" s="306">
        <f>'User Input Sheet'!M12</f>
        <v>0</v>
      </c>
      <c r="D12" s="262" t="str">
        <f>IF(C9-C11-C10=C12, "OK", "Review: # of Children, # of Pre-School Age Children, # of School Age Children, and # of Children 18-21")</f>
        <v>OK</v>
      </c>
      <c r="E12" s="256"/>
      <c r="F12" s="261"/>
      <c r="I12" s="1"/>
      <c r="M12" s="289"/>
      <c r="N12" s="300"/>
    </row>
    <row r="13" spans="1:28" ht="32.25" customHeight="1" x14ac:dyDescent="0.25">
      <c r="A13" s="242" t="s">
        <v>17</v>
      </c>
      <c r="B13" s="240"/>
      <c r="C13" s="306">
        <f>'User Input Sheet'!M13</f>
        <v>1</v>
      </c>
      <c r="D13" s="262"/>
      <c r="E13" s="256"/>
      <c r="F13" s="261"/>
      <c r="I13" s="1"/>
      <c r="M13" s="289"/>
      <c r="N13" s="300"/>
      <c r="P13" s="145" t="s">
        <v>18</v>
      </c>
      <c r="Q13" s="146">
        <v>1</v>
      </c>
      <c r="R13" s="146">
        <v>2</v>
      </c>
      <c r="S13" s="146">
        <v>3</v>
      </c>
      <c r="T13" s="146">
        <v>4</v>
      </c>
      <c r="U13" s="146">
        <v>5</v>
      </c>
      <c r="V13" s="146">
        <v>6</v>
      </c>
      <c r="W13" s="146">
        <v>7</v>
      </c>
      <c r="X13" s="146">
        <v>8</v>
      </c>
      <c r="Y13" s="146">
        <v>9</v>
      </c>
      <c r="Z13" s="146">
        <v>10</v>
      </c>
      <c r="AA13" s="146">
        <v>11</v>
      </c>
      <c r="AB13" s="146">
        <v>12</v>
      </c>
    </row>
    <row r="14" spans="1:28" ht="32.25" customHeight="1" x14ac:dyDescent="0.25">
      <c r="A14" s="243" t="s">
        <v>19</v>
      </c>
      <c r="B14" s="240"/>
      <c r="C14" s="307">
        <f>'User Input Sheet'!C14</f>
        <v>44166</v>
      </c>
      <c r="D14" s="260"/>
      <c r="E14" s="256"/>
      <c r="F14" s="261"/>
      <c r="I14" s="1"/>
      <c r="M14" s="301"/>
      <c r="N14" s="300"/>
      <c r="P14" s="145" t="s">
        <v>20</v>
      </c>
      <c r="Q14" s="147">
        <f>EDATE(C14,0)</f>
        <v>44166</v>
      </c>
      <c r="R14" s="147">
        <f t="shared" ref="R14:AB14" si="0">EDATE($C$14,Q13)</f>
        <v>44197</v>
      </c>
      <c r="S14" s="147">
        <f t="shared" si="0"/>
        <v>44228</v>
      </c>
      <c r="T14" s="147">
        <f t="shared" si="0"/>
        <v>44256</v>
      </c>
      <c r="U14" s="147">
        <f t="shared" si="0"/>
        <v>44287</v>
      </c>
      <c r="V14" s="147">
        <f t="shared" si="0"/>
        <v>44317</v>
      </c>
      <c r="W14" s="147">
        <f t="shared" si="0"/>
        <v>44348</v>
      </c>
      <c r="X14" s="147">
        <f t="shared" si="0"/>
        <v>44378</v>
      </c>
      <c r="Y14" s="147">
        <f t="shared" si="0"/>
        <v>44409</v>
      </c>
      <c r="Z14" s="147">
        <f t="shared" si="0"/>
        <v>44440</v>
      </c>
      <c r="AA14" s="147">
        <f t="shared" si="0"/>
        <v>44470</v>
      </c>
      <c r="AB14" s="147">
        <f t="shared" si="0"/>
        <v>44501</v>
      </c>
    </row>
    <row r="15" spans="1:28" ht="32.25" customHeight="1" x14ac:dyDescent="0.25">
      <c r="A15" s="242" t="s">
        <v>21</v>
      </c>
      <c r="B15" s="241"/>
      <c r="C15" s="308">
        <f>'User Input Sheet'!M15</f>
        <v>156</v>
      </c>
      <c r="D15" s="260"/>
      <c r="E15" s="256"/>
      <c r="F15" s="261"/>
      <c r="I15" s="1"/>
      <c r="M15" s="288"/>
      <c r="N15" s="302"/>
    </row>
    <row r="16" spans="1:28" ht="32.25" customHeight="1" x14ac:dyDescent="0.25">
      <c r="A16" s="242" t="s">
        <v>22</v>
      </c>
      <c r="B16" s="240"/>
      <c r="C16" s="308">
        <f>'User Input Sheet'!M16</f>
        <v>10000</v>
      </c>
      <c r="D16" s="260"/>
      <c r="E16" s="256"/>
      <c r="F16" s="261"/>
      <c r="I16" s="1"/>
      <c r="M16" s="288"/>
      <c r="N16" s="288"/>
      <c r="O16" s="151"/>
    </row>
    <row r="17" spans="1:25" ht="32.25" customHeight="1" x14ac:dyDescent="0.25">
      <c r="A17" s="242" t="s">
        <v>23</v>
      </c>
      <c r="B17" s="240"/>
      <c r="C17" s="308">
        <f>'User Input Sheet'!M17</f>
        <v>0</v>
      </c>
      <c r="D17" s="260"/>
      <c r="E17" s="256"/>
      <c r="F17" s="261"/>
      <c r="I17" s="1"/>
      <c r="M17" s="288"/>
      <c r="N17" s="288"/>
      <c r="O17" s="151"/>
    </row>
    <row r="18" spans="1:25" ht="32.25" customHeight="1" x14ac:dyDescent="0.25">
      <c r="A18" s="242" t="s">
        <v>24</v>
      </c>
      <c r="B18" s="240"/>
      <c r="C18" s="254">
        <f>'User Input Sheet'!M18</f>
        <v>0</v>
      </c>
      <c r="D18" s="264"/>
      <c r="E18" s="265"/>
      <c r="F18" s="266"/>
      <c r="I18" s="1"/>
      <c r="M18" s="303"/>
      <c r="N18" s="300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5.25" customHeight="1" x14ac:dyDescent="0.25">
      <c r="I19" s="1"/>
      <c r="M19" s="142"/>
      <c r="O19" s="143"/>
      <c r="P19" s="141"/>
      <c r="Q19" s="141"/>
      <c r="T19" s="141"/>
      <c r="U19" s="141"/>
      <c r="V19" s="141"/>
      <c r="W19" s="141"/>
    </row>
    <row r="20" spans="1:25" ht="42" customHeight="1" x14ac:dyDescent="0.25">
      <c r="A20" s="244" t="s">
        <v>25</v>
      </c>
      <c r="B20" s="245"/>
      <c r="C20" s="246" t="s">
        <v>26</v>
      </c>
      <c r="D20" s="246" t="s">
        <v>27</v>
      </c>
      <c r="E20" s="227" t="s">
        <v>28</v>
      </c>
      <c r="F20" s="255" t="s">
        <v>3</v>
      </c>
      <c r="G20" s="284" t="s">
        <v>3</v>
      </c>
      <c r="H20" s="284" t="s">
        <v>3</v>
      </c>
      <c r="I20" s="1"/>
      <c r="M20" s="304"/>
      <c r="N20" s="304"/>
      <c r="O20" s="143"/>
      <c r="P20" s="141"/>
      <c r="Q20" s="141"/>
      <c r="T20" s="141"/>
      <c r="U20" s="141"/>
      <c r="V20" s="141"/>
      <c r="W20" s="141"/>
    </row>
    <row r="21" spans="1:25" ht="30.75" customHeight="1" x14ac:dyDescent="0.25">
      <c r="B21" s="1" t="s">
        <v>29</v>
      </c>
      <c r="C21" s="309" t="str">
        <f>'User Input Sheet'!M21</f>
        <v>No</v>
      </c>
      <c r="D21" s="160">
        <f>'User Input Sheet'!D21</f>
        <v>0</v>
      </c>
      <c r="E21" s="267" t="s">
        <v>31</v>
      </c>
      <c r="F21" s="268" t="str">
        <f>IF(D21&gt;9,"ERROR - Maximum Support Months Exceeded", "OK")</f>
        <v>OK</v>
      </c>
      <c r="G21" s="256"/>
      <c r="H21" s="261"/>
      <c r="I21" s="1"/>
      <c r="M21" s="289"/>
      <c r="N21" s="289"/>
      <c r="O21" s="143"/>
      <c r="P21" s="141"/>
      <c r="Q21" s="141"/>
      <c r="T21" s="141"/>
      <c r="U21" s="141"/>
      <c r="V21" s="141"/>
      <c r="W21" s="141"/>
    </row>
    <row r="22" spans="1:25" ht="30.75" customHeight="1" x14ac:dyDescent="0.25">
      <c r="B22" s="1" t="s">
        <v>32</v>
      </c>
      <c r="C22" s="309" t="str">
        <f>'User Input Sheet'!M22</f>
        <v>No</v>
      </c>
      <c r="D22" s="87" t="str">
        <f>'User Input Sheet'!D22</f>
        <v>N/A</v>
      </c>
      <c r="E22" s="267" t="s">
        <v>34</v>
      </c>
      <c r="F22" s="260"/>
      <c r="G22" s="256"/>
      <c r="H22" s="261"/>
      <c r="I22" s="1"/>
      <c r="M22" s="289"/>
      <c r="N22" s="289"/>
      <c r="O22" s="143"/>
      <c r="P22" s="141"/>
      <c r="Q22" s="141"/>
      <c r="T22" s="141"/>
      <c r="U22" s="141"/>
      <c r="V22" s="141"/>
      <c r="W22" s="141"/>
    </row>
    <row r="23" spans="1:25" ht="30.75" customHeight="1" x14ac:dyDescent="0.25">
      <c r="B23" s="1" t="s">
        <v>35</v>
      </c>
      <c r="C23" s="309" t="str">
        <f>'User Input Sheet'!M23</f>
        <v>No</v>
      </c>
      <c r="D23" s="87" t="str">
        <f>'User Input Sheet'!D23</f>
        <v>N/A</v>
      </c>
      <c r="E23" s="267" t="s">
        <v>36</v>
      </c>
      <c r="F23" s="260"/>
      <c r="G23" s="256"/>
      <c r="H23" s="261"/>
      <c r="I23" s="1"/>
      <c r="M23" s="289"/>
      <c r="N23" s="289"/>
      <c r="O23" s="143"/>
      <c r="P23" s="141"/>
      <c r="Q23" s="141"/>
      <c r="T23" s="141"/>
      <c r="U23" s="141"/>
      <c r="V23" s="141"/>
      <c r="W23" s="141"/>
    </row>
    <row r="24" spans="1:25" ht="30.75" customHeight="1" x14ac:dyDescent="0.25">
      <c r="B24" s="1" t="s">
        <v>37</v>
      </c>
      <c r="C24" s="309" t="str">
        <f>'User Input Sheet'!M24</f>
        <v>No</v>
      </c>
      <c r="D24" s="160">
        <f>'User Input Sheet'!D24</f>
        <v>0</v>
      </c>
      <c r="E24" s="267" t="s">
        <v>38</v>
      </c>
      <c r="F24" s="260"/>
      <c r="G24" s="256"/>
      <c r="H24" s="261"/>
      <c r="I24" s="1"/>
      <c r="M24" s="289"/>
      <c r="N24" s="289"/>
      <c r="O24" s="143"/>
      <c r="P24" s="141"/>
      <c r="Q24" s="141"/>
      <c r="T24" s="141"/>
      <c r="U24" s="141"/>
      <c r="V24" s="141"/>
      <c r="W24" s="141"/>
    </row>
    <row r="25" spans="1:25" ht="45" x14ac:dyDescent="0.25">
      <c r="B25" s="1" t="s">
        <v>39</v>
      </c>
      <c r="C25" s="309" t="str">
        <f>'User Input Sheet'!M25</f>
        <v>No</v>
      </c>
      <c r="D25" s="160">
        <f>'User Input Sheet'!D25</f>
        <v>0</v>
      </c>
      <c r="E25" s="267" t="s">
        <v>40</v>
      </c>
      <c r="F25" s="269" t="str">
        <f>IF(D25&gt;2,"ERROR - Maximum Number Exceeded", "OK")</f>
        <v>OK</v>
      </c>
      <c r="G25" s="270" t="str">
        <f>IF(AND(C25="Yes",D25=0), "Error - D25 must be greater than 0", "OK")</f>
        <v>OK</v>
      </c>
      <c r="H25" s="271" t="str">
        <f>IF(AND(C25="No",D25&gt;0), "Error - D25 must 0", "OK")</f>
        <v>OK</v>
      </c>
      <c r="M25" s="300"/>
      <c r="N25" s="300"/>
      <c r="O25" s="143"/>
      <c r="P25" s="141"/>
      <c r="Q25" s="141"/>
      <c r="T25" s="141"/>
      <c r="U25" s="141"/>
      <c r="V25" s="141"/>
      <c r="W25" s="141"/>
    </row>
    <row r="26" spans="1:25" ht="7.5" customHeight="1" x14ac:dyDescent="0.25">
      <c r="I26" s="1"/>
      <c r="M26" s="142"/>
      <c r="O26" s="143"/>
      <c r="P26" s="141"/>
      <c r="Q26" s="141"/>
      <c r="T26" s="141"/>
      <c r="U26" s="141"/>
      <c r="V26" s="141"/>
      <c r="W26" s="141"/>
    </row>
    <row r="27" spans="1:25" ht="54.75" customHeight="1" x14ac:dyDescent="0.25">
      <c r="A27" s="247" t="s">
        <v>41</v>
      </c>
      <c r="B27" s="248"/>
      <c r="C27" s="246" t="s">
        <v>42</v>
      </c>
      <c r="D27" s="246" t="s">
        <v>43</v>
      </c>
      <c r="E27" s="246" t="s">
        <v>44</v>
      </c>
      <c r="F27" s="246" t="s">
        <v>45</v>
      </c>
      <c r="G27" s="246" t="s">
        <v>46</v>
      </c>
      <c r="H27" s="246" t="s">
        <v>47</v>
      </c>
      <c r="I27" s="144"/>
    </row>
    <row r="28" spans="1:25" ht="5.25" customHeight="1" x14ac:dyDescent="0.25">
      <c r="I28" s="1"/>
      <c r="M28" s="141"/>
      <c r="N28" s="141"/>
      <c r="O28" s="141"/>
      <c r="R28" s="141"/>
      <c r="S28" s="141"/>
      <c r="T28" s="141"/>
      <c r="U28" s="141"/>
    </row>
    <row r="29" spans="1:25" ht="57" customHeight="1" x14ac:dyDescent="0.25">
      <c r="A29" s="249" t="s">
        <v>48</v>
      </c>
      <c r="B29" s="40"/>
      <c r="C29" s="246" t="s">
        <v>42</v>
      </c>
      <c r="D29" s="246" t="s">
        <v>43</v>
      </c>
      <c r="E29" s="340" t="s">
        <v>49</v>
      </c>
      <c r="F29" s="341"/>
      <c r="G29" s="246" t="s">
        <v>46</v>
      </c>
      <c r="H29" s="246" t="s">
        <v>47</v>
      </c>
      <c r="J29" s="33" t="s">
        <v>50</v>
      </c>
      <c r="K29" s="33" t="s">
        <v>28</v>
      </c>
    </row>
    <row r="30" spans="1:25" x14ac:dyDescent="0.25">
      <c r="B30" s="1" t="s">
        <v>51</v>
      </c>
      <c r="C30" s="217">
        <f>VLOOKUP($C$7-$C$12,'RAP Guidelines'!$L$7:$X$16,2)</f>
        <v>245.74</v>
      </c>
      <c r="D30" s="217">
        <f>IF(C12&gt;0,(VLOOKUP(1,'RAP Guidelines'!$L$7:$X$16,2)*C12),0)</f>
        <v>0</v>
      </c>
      <c r="E30" s="219"/>
      <c r="F30" s="226">
        <f>SUM(C30:D30)</f>
        <v>245.74</v>
      </c>
      <c r="G30" s="220">
        <v>0</v>
      </c>
      <c r="H30" s="219">
        <f>IF(F30-G30&gt;=0,F30-G30,0)</f>
        <v>245.74</v>
      </c>
      <c r="I30" s="157" t="str">
        <f>IF(G30&gt;(F30*'RAP Guidelines'!Y28),"Error: In-Kind Deduction Limit Exceeded","OK")</f>
        <v>OK</v>
      </c>
      <c r="J30" s="43">
        <f>F30*'RAP Guidelines'!Y28</f>
        <v>122.87</v>
      </c>
      <c r="K30" s="137"/>
    </row>
    <row r="31" spans="1:25" x14ac:dyDescent="0.25">
      <c r="B31" s="1" t="s">
        <v>52</v>
      </c>
      <c r="C31" s="217">
        <f>IF($C$8="Single or Single Parent",VLOOKUP($C$7-$C$12,'RAP Guidelines'!$L$7:$X$16,6), VLOOKUP($C$7-$C$12,'RAP Guidelines'!$L$7:$X$16,10,FALSE))</f>
        <v>384.17</v>
      </c>
      <c r="D31" s="217">
        <f>IF($C$12&gt;0,(VLOOKUP(1,'RAP Guidelines'!$L$7:$X$16,6)*$C$12),0)</f>
        <v>0</v>
      </c>
      <c r="E31" s="219"/>
      <c r="F31" s="226">
        <f t="shared" ref="F31:F36" si="1">SUM(C31:D31)</f>
        <v>384.17</v>
      </c>
      <c r="G31" s="220">
        <v>0</v>
      </c>
      <c r="H31" s="219">
        <f t="shared" ref="H31:H37" si="2">IF(F31-G31&gt;=0,F31-G31,0)</f>
        <v>384.17</v>
      </c>
      <c r="I31" s="157" t="str">
        <f>IF(G31&gt;(F31*'RAP Guidelines'!Y29),"Error: In-Kind Deduction Limit Exceeded","OK")</f>
        <v>OK</v>
      </c>
      <c r="J31" s="43">
        <f>F31*'RAP Guidelines'!Y29</f>
        <v>268.91899999999998</v>
      </c>
      <c r="K31" s="137"/>
    </row>
    <row r="32" spans="1:25" x14ac:dyDescent="0.25">
      <c r="B32" s="1" t="s">
        <v>53</v>
      </c>
      <c r="C32" s="217">
        <f>IF($C$8="Single or Single Parent",VLOOKUP($C$7-$C$12,'RAP Guidelines'!$L$7:$X$16,7), VLOOKUP($C$7-$C$12,'RAP Guidelines'!$L$7:$X$16,11,FALSE))</f>
        <v>179.28</v>
      </c>
      <c r="D32" s="217">
        <f>IF($C$12&gt;0,(VLOOKUP(1,'RAP Guidelines'!$L$7:$X$16,7)*$C$12),0)</f>
        <v>0</v>
      </c>
      <c r="E32" s="219"/>
      <c r="F32" s="226">
        <f t="shared" si="1"/>
        <v>179.28</v>
      </c>
      <c r="G32" s="220">
        <v>0</v>
      </c>
      <c r="H32" s="219">
        <f t="shared" si="2"/>
        <v>179.28</v>
      </c>
      <c r="I32" s="157" t="str">
        <f>IF(G32&gt;(F32*'RAP Guidelines'!Y30),"Error: In-Kind Deduction Limit Exceeded","OK")</f>
        <v>OK</v>
      </c>
      <c r="J32" s="43">
        <f>F32*'RAP Guidelines'!Y30</f>
        <v>125.496</v>
      </c>
      <c r="K32" s="137"/>
    </row>
    <row r="33" spans="1:12" x14ac:dyDescent="0.25">
      <c r="B33" s="1" t="s">
        <v>54</v>
      </c>
      <c r="C33" s="217">
        <f>VLOOKUP($C$7-$C$12,'RAP Guidelines'!$L$7:$X$16,3)</f>
        <v>632.57000000000005</v>
      </c>
      <c r="D33" s="217">
        <f>IF($C$12&gt;0,(VLOOKUP(1,'RAP Guidelines'!$L$7:$X$16,3)*$C$12),0)</f>
        <v>0</v>
      </c>
      <c r="E33" s="219"/>
      <c r="F33" s="226">
        <f t="shared" si="1"/>
        <v>632.57000000000005</v>
      </c>
      <c r="G33" s="220">
        <v>0</v>
      </c>
      <c r="H33" s="219">
        <f t="shared" si="2"/>
        <v>632.57000000000005</v>
      </c>
      <c r="I33" s="157" t="str">
        <f>IF(G33&gt;(F33*'RAP Guidelines'!Y31),"Error: In-Kind Deduction Limit Exceeded","OK")</f>
        <v>OK</v>
      </c>
      <c r="J33" s="43">
        <f>F33*'RAP Guidelines'!Y31</f>
        <v>316.28500000000003</v>
      </c>
      <c r="K33" s="137"/>
    </row>
    <row r="34" spans="1:12" x14ac:dyDescent="0.25">
      <c r="B34" s="1" t="s">
        <v>55</v>
      </c>
      <c r="C34" s="217">
        <f>IF($C$8="Single or Single Parent",VLOOKUP($C$7-$C$12,'RAP Guidelines'!$L$7:$X$16,8), VLOOKUP($C$7-$C$12,'RAP Guidelines'!$L$7:$X$16,12,FALSE))</f>
        <v>1634.15</v>
      </c>
      <c r="D34" s="217">
        <f>IF($C$12&gt;0,(VLOOKUP(1,'RAP Guidelines'!$L$7:$X$16,8)*$C$12),0)</f>
        <v>0</v>
      </c>
      <c r="E34" s="219"/>
      <c r="F34" s="226">
        <f t="shared" si="1"/>
        <v>1634.15</v>
      </c>
      <c r="G34" s="220">
        <v>0</v>
      </c>
      <c r="H34" s="219">
        <f t="shared" si="2"/>
        <v>1634.15</v>
      </c>
      <c r="I34" s="157" t="str">
        <f>IF(G34&gt;(F34*'RAP Guidelines'!Y32),"Error: In-Kind Deduction Limit Exceeded","OK")</f>
        <v>OK</v>
      </c>
      <c r="J34" s="43">
        <f>F34*'RAP Guidelines'!Y32</f>
        <v>1143.905</v>
      </c>
      <c r="K34" s="137"/>
    </row>
    <row r="35" spans="1:12" x14ac:dyDescent="0.25">
      <c r="B35" s="1" t="s">
        <v>56</v>
      </c>
      <c r="C35" s="217">
        <f>VLOOKUP($C$7-$C$12,'RAP Guidelines'!$L$7:$X$16,4)</f>
        <v>84.34</v>
      </c>
      <c r="D35" s="217">
        <f>IF($C$12&gt;0,(VLOOKUP(1,'RAP Guidelines'!$L$7:$X$16,4)*$C$12),0)</f>
        <v>0</v>
      </c>
      <c r="E35" s="219"/>
      <c r="F35" s="226">
        <f t="shared" si="1"/>
        <v>84.34</v>
      </c>
      <c r="G35" s="220">
        <v>0</v>
      </c>
      <c r="H35" s="219">
        <f t="shared" si="2"/>
        <v>84.34</v>
      </c>
      <c r="I35" s="157" t="str">
        <f>IF(G35&gt;(F35*'RAP Guidelines'!Y33),"Error: In-Kind Deduction Limit Exceeded","OK")</f>
        <v>OK</v>
      </c>
      <c r="J35" s="43">
        <f>F35*'RAP Guidelines'!Y33</f>
        <v>84.34</v>
      </c>
      <c r="K35" s="137"/>
    </row>
    <row r="36" spans="1:12" x14ac:dyDescent="0.25">
      <c r="B36" s="1" t="s">
        <v>57</v>
      </c>
      <c r="C36" s="217">
        <f>VLOOKUP($C$7-$C$12,'RAP Guidelines'!$L$7:$X$16,5)</f>
        <v>84.56</v>
      </c>
      <c r="D36" s="217">
        <f>IF($C$12&gt;0,(VLOOKUP(1,'RAP Guidelines'!$L$7:$X$16,5)*$C$12),0)</f>
        <v>0</v>
      </c>
      <c r="E36" s="219"/>
      <c r="F36" s="226">
        <f t="shared" si="1"/>
        <v>84.56</v>
      </c>
      <c r="G36" s="221">
        <v>0</v>
      </c>
      <c r="H36" s="219">
        <f t="shared" si="2"/>
        <v>84.56</v>
      </c>
      <c r="I36" s="157" t="str">
        <f>IF(G36&gt;(F36*'RAP Guidelines'!Y34),"Error: In-Kind Deduction Limit Exceeded","OK")</f>
        <v>OK</v>
      </c>
      <c r="J36" s="43">
        <f>F36*'RAP Guidelines'!Y34</f>
        <v>84.56</v>
      </c>
      <c r="K36" s="137"/>
      <c r="L36" s="137"/>
    </row>
    <row r="37" spans="1:12" x14ac:dyDescent="0.25">
      <c r="B37" s="1" t="s">
        <v>58</v>
      </c>
      <c r="C37" s="217">
        <f>IF(C25="Yes",'RAP Guidelines'!$D43*$D25*C11,0)</f>
        <v>0</v>
      </c>
      <c r="D37" s="223" t="s">
        <v>33</v>
      </c>
      <c r="E37" s="219"/>
      <c r="F37" s="226">
        <f>C37</f>
        <v>0</v>
      </c>
      <c r="G37" s="221">
        <v>0</v>
      </c>
      <c r="H37" s="219">
        <f t="shared" si="2"/>
        <v>0</v>
      </c>
      <c r="I37" s="157" t="str">
        <f>IF(G37&gt;(F37*'RAP Guidelines'!Y35),"Error: In-Kind Deduction Limit Exceeded","OK")</f>
        <v>OK</v>
      </c>
      <c r="J37" s="43">
        <f>F37*'RAP Guidelines'!Y35</f>
        <v>0</v>
      </c>
      <c r="K37" s="137"/>
      <c r="L37" s="137"/>
    </row>
    <row r="38" spans="1:12" ht="15.75" thickBot="1" x14ac:dyDescent="0.3">
      <c r="B38" s="36" t="s">
        <v>59</v>
      </c>
      <c r="C38" s="218">
        <f t="shared" ref="C38:H38" si="3">SUM(C30:C37)</f>
        <v>3244.8100000000004</v>
      </c>
      <c r="D38" s="218">
        <f t="shared" si="3"/>
        <v>0</v>
      </c>
      <c r="E38" s="218"/>
      <c r="F38" s="218">
        <f t="shared" si="3"/>
        <v>3244.8100000000004</v>
      </c>
      <c r="G38" s="222">
        <f t="shared" si="3"/>
        <v>0</v>
      </c>
      <c r="H38" s="218">
        <f t="shared" si="3"/>
        <v>3244.8100000000004</v>
      </c>
      <c r="J38" s="282">
        <f>SUM(J30:J37)</f>
        <v>2146.375</v>
      </c>
      <c r="K38" s="137"/>
      <c r="L38" s="137"/>
    </row>
    <row r="39" spans="1:12" ht="7.5" customHeight="1" thickTop="1" x14ac:dyDescent="0.25">
      <c r="C39" s="43"/>
      <c r="D39" s="43"/>
      <c r="E39" s="43"/>
      <c r="F39" s="156"/>
      <c r="G39" s="156"/>
      <c r="H39" s="156"/>
      <c r="J39" s="43"/>
      <c r="K39" s="137"/>
      <c r="L39" s="137"/>
    </row>
    <row r="40" spans="1:12" ht="33.75" customHeight="1" x14ac:dyDescent="0.25">
      <c r="A40" s="249" t="s">
        <v>60</v>
      </c>
      <c r="B40" s="40"/>
      <c r="C40" s="337" t="s">
        <v>61</v>
      </c>
      <c r="D40" s="338"/>
      <c r="E40" s="246" t="s">
        <v>62</v>
      </c>
      <c r="F40" s="246" t="s">
        <v>45</v>
      </c>
      <c r="G40" s="246" t="s">
        <v>46</v>
      </c>
      <c r="H40" s="246" t="s">
        <v>47</v>
      </c>
      <c r="J40" s="43"/>
      <c r="K40" s="137"/>
      <c r="L40" s="137"/>
    </row>
    <row r="41" spans="1:12" ht="45" x14ac:dyDescent="0.25">
      <c r="B41" s="1" t="s">
        <v>63</v>
      </c>
      <c r="C41" s="217">
        <f>IF($C$13=2,'RAP Guidelines'!F24, IF(AND($C$13=1, $C$8="Couple"),'RAP Guidelines'!D24, IF(AND($C$13=1,$C$8="Single or Single Parent"), 'RAP Guidelines'!B23, IF(AND($C$13=0,$C$7=1), 'RAP Guidelines'!B7,IF(AND($C$13=0,$C$7&gt;1,$C$8="Single or Single Parent"),'RAP Guidelines'!B8,'RAP Guidelines'!D8)))))</f>
        <v>786</v>
      </c>
      <c r="D41" s="217" t="str">
        <f>IF($C$12&gt;0,$C$12*'RAP Guidelines'!B7,"")</f>
        <v/>
      </c>
      <c r="E41" s="226">
        <f>SUM(C41:D41)</f>
        <v>786</v>
      </c>
      <c r="F41" s="226">
        <f>E41*12</f>
        <v>9432</v>
      </c>
      <c r="G41" s="220">
        <v>0</v>
      </c>
      <c r="H41" s="224">
        <f>IF(F41-G41&gt;=0,F41-G41,0)</f>
        <v>9432</v>
      </c>
      <c r="I41" s="157" t="str">
        <f>IF(G41&gt;(F41*'RAP Guidelines'!Y23),"Error: In-Kind Deduction Limit Exceeded","OK")</f>
        <v>OK</v>
      </c>
      <c r="J41" s="43">
        <f>F41*'RAP Guidelines'!Y23</f>
        <v>4716</v>
      </c>
      <c r="K41" s="137" t="s">
        <v>64</v>
      </c>
      <c r="L41" s="137"/>
    </row>
    <row r="42" spans="1:12" x14ac:dyDescent="0.25">
      <c r="B42" s="1" t="s">
        <v>65</v>
      </c>
      <c r="C42" s="217">
        <f>IF($C$13&gt;0,VLOOKUP(C7-C12, 'RAP Guidelines'!A23:L32,8),IF($C$13=0, VLOOKUP(C7-C12, 'RAP Guidelines'!A7:H16,6),"Error"))</f>
        <v>786</v>
      </c>
      <c r="D42" s="217" t="str">
        <f>IF($C$12&gt;0,$C$12*'RAP Guidelines'!F7,"")</f>
        <v/>
      </c>
      <c r="E42" s="226">
        <f>SUM(C42:D42)</f>
        <v>786</v>
      </c>
      <c r="F42" s="226">
        <f>E42*12</f>
        <v>9432</v>
      </c>
      <c r="G42" s="220">
        <v>0</v>
      </c>
      <c r="H42" s="224">
        <f t="shared" ref="H42:H45" si="4">IF(F42-G42&gt;=0,F42-G42,0)</f>
        <v>9432</v>
      </c>
      <c r="I42" s="157" t="str">
        <f>IF(G42&gt;(F42*'RAP Guidelines'!Y24),"Error: In-Kind Deduction Limit Exceeded","OK")</f>
        <v>OK</v>
      </c>
      <c r="J42" s="43">
        <f>F42*'RAP Guidelines'!Y24</f>
        <v>9432</v>
      </c>
      <c r="K42" s="137"/>
      <c r="L42" s="137"/>
    </row>
    <row r="43" spans="1:12" x14ac:dyDescent="0.25">
      <c r="B43" s="1" t="s">
        <v>66</v>
      </c>
      <c r="C43" s="217">
        <f>'RAP Guidelines'!$G$7</f>
        <v>79.069999999999993</v>
      </c>
      <c r="D43" s="217" t="str">
        <f>IF($C$12&gt;0,$C$12*'RAP Guidelines'!$G$7,"")</f>
        <v/>
      </c>
      <c r="E43" s="226">
        <f>SUM(C43:D43)</f>
        <v>79.069999999999993</v>
      </c>
      <c r="F43" s="226">
        <f>E43*12</f>
        <v>948.83999999999992</v>
      </c>
      <c r="G43" s="223">
        <v>0</v>
      </c>
      <c r="H43" s="224">
        <f>F43</f>
        <v>948.83999999999992</v>
      </c>
      <c r="I43" s="157" t="str">
        <f>IF(G43&gt;(F43*'RAP Guidelines'!Y25),"Error: In-Kind Deduction Limit Exceeded","OK")</f>
        <v>OK</v>
      </c>
      <c r="J43" s="43">
        <f>F43*'RAP Guidelines'!Y25</f>
        <v>0</v>
      </c>
      <c r="K43" s="137"/>
      <c r="L43" s="137"/>
    </row>
    <row r="44" spans="1:12" x14ac:dyDescent="0.25">
      <c r="B44" s="1" t="s">
        <v>67</v>
      </c>
      <c r="C44" s="217">
        <f>IF(C8="Couple",C15*2,C15)</f>
        <v>156</v>
      </c>
      <c r="D44" s="217">
        <f>IF(C12&gt;0,C12*C15,0)</f>
        <v>0</v>
      </c>
      <c r="E44" s="226">
        <f>SUM(C44:D44)</f>
        <v>156</v>
      </c>
      <c r="F44" s="226">
        <f>E44*12</f>
        <v>1872</v>
      </c>
      <c r="G44" s="220">
        <v>0</v>
      </c>
      <c r="H44" s="224">
        <f t="shared" si="4"/>
        <v>1872</v>
      </c>
      <c r="I44" s="157" t="str">
        <f>IF(G44&gt;(F44*'RAP Guidelines'!Y26),"Error: In-Kind Deduction Limit Exceeded","OK")</f>
        <v>OK</v>
      </c>
      <c r="J44" s="43">
        <f>F44*'RAP Guidelines'!Y26</f>
        <v>0</v>
      </c>
      <c r="K44" s="137"/>
      <c r="L44" s="137"/>
    </row>
    <row r="45" spans="1:12" x14ac:dyDescent="0.25">
      <c r="B45" s="1" t="s">
        <v>68</v>
      </c>
      <c r="C45" s="217">
        <f>IF(C16&lt;=C42,0, IF(AND(C16-C42&gt;0,C16-C42&lt; 'RAP Guidelines'!H7), C16-C42,'RAP Guidelines'!H7))</f>
        <v>500</v>
      </c>
      <c r="D45" s="217">
        <f>IF(C12=0,0, IF(C16&gt;(E42+C45+C12*'RAP Guidelines'!H7),C12*'RAP Guidelines'!H7, IF(C16-E42-C45&gt;0,C16-E42-C45,0)))</f>
        <v>0</v>
      </c>
      <c r="E45" s="226">
        <f>SUM(C45:D45)</f>
        <v>500</v>
      </c>
      <c r="F45" s="226">
        <f>E45*12</f>
        <v>6000</v>
      </c>
      <c r="G45" s="220">
        <v>0</v>
      </c>
      <c r="H45" s="224">
        <f t="shared" si="4"/>
        <v>6000</v>
      </c>
      <c r="I45" s="157" t="str">
        <f>IF(G45&gt;(F45*'RAP Guidelines'!Y27),"Error: In-Kind Deduction Limit Exceeded","OK")</f>
        <v>OK</v>
      </c>
      <c r="J45" s="43">
        <f>F45*'RAP Guidelines'!Y27</f>
        <v>6000</v>
      </c>
      <c r="K45" s="137"/>
      <c r="L45" s="137"/>
    </row>
    <row r="46" spans="1:12" ht="15.75" thickBot="1" x14ac:dyDescent="0.3">
      <c r="B46" s="36" t="s">
        <v>69</v>
      </c>
      <c r="C46" s="218">
        <f t="shared" ref="C46:H46" si="5">SUM(C41:C45)</f>
        <v>2307.0699999999997</v>
      </c>
      <c r="D46" s="218">
        <f t="shared" si="5"/>
        <v>0</v>
      </c>
      <c r="E46" s="218">
        <f t="shared" si="5"/>
        <v>2307.0699999999997</v>
      </c>
      <c r="F46" s="218">
        <f t="shared" si="5"/>
        <v>27684.84</v>
      </c>
      <c r="G46" s="222">
        <f t="shared" si="5"/>
        <v>0</v>
      </c>
      <c r="H46" s="225">
        <f t="shared" si="5"/>
        <v>27684.84</v>
      </c>
      <c r="J46" s="201">
        <f>SUM(J41:J45)</f>
        <v>20148</v>
      </c>
      <c r="K46" s="137"/>
      <c r="L46" s="137"/>
    </row>
    <row r="47" spans="1:12" ht="5.25" customHeight="1" thickTop="1" x14ac:dyDescent="0.25">
      <c r="A47" s="2"/>
    </row>
    <row r="48" spans="1:12" ht="33" customHeight="1" x14ac:dyDescent="0.25">
      <c r="A48" s="249" t="s">
        <v>25</v>
      </c>
      <c r="B48" s="40"/>
      <c r="C48" s="272"/>
      <c r="D48" s="273"/>
      <c r="E48" s="239"/>
      <c r="F48" s="246" t="s">
        <v>45</v>
      </c>
      <c r="G48" s="246" t="s">
        <v>46</v>
      </c>
      <c r="H48" s="246" t="s">
        <v>47</v>
      </c>
    </row>
    <row r="49" spans="1:15" x14ac:dyDescent="0.25">
      <c r="B49" s="1" t="s">
        <v>29</v>
      </c>
      <c r="C49" s="236" t="s">
        <v>33</v>
      </c>
      <c r="D49" s="236" t="s">
        <v>33</v>
      </c>
      <c r="E49" s="236" t="s">
        <v>33</v>
      </c>
      <c r="F49" s="233">
        <f>IF(C21="Yes",'RAP Guidelines'!$D39*$D21,0)</f>
        <v>0</v>
      </c>
      <c r="G49" s="229">
        <v>0</v>
      </c>
      <c r="H49" s="231">
        <f t="shared" ref="H49:H52" si="6">IF(F49-G49&gt;=0,F49-G49,0)</f>
        <v>0</v>
      </c>
      <c r="I49" s="157" t="s">
        <v>33</v>
      </c>
    </row>
    <row r="50" spans="1:15" x14ac:dyDescent="0.25">
      <c r="B50" s="1" t="s">
        <v>32</v>
      </c>
      <c r="C50" s="236" t="s">
        <v>33</v>
      </c>
      <c r="D50" s="236" t="s">
        <v>33</v>
      </c>
      <c r="E50" s="236" t="s">
        <v>33</v>
      </c>
      <c r="F50" s="233">
        <f>IF(C22="Yes",'RAP Guidelines'!D40,0)</f>
        <v>0</v>
      </c>
      <c r="G50" s="229">
        <v>0</v>
      </c>
      <c r="H50" s="231">
        <f t="shared" si="6"/>
        <v>0</v>
      </c>
      <c r="I50" s="157" t="s">
        <v>33</v>
      </c>
    </row>
    <row r="51" spans="1:15" x14ac:dyDescent="0.25">
      <c r="B51" s="1" t="s">
        <v>35</v>
      </c>
      <c r="C51" s="236" t="s">
        <v>33</v>
      </c>
      <c r="D51" s="236" t="s">
        <v>33</v>
      </c>
      <c r="E51" s="236" t="s">
        <v>33</v>
      </c>
      <c r="F51" s="233">
        <f>IF(C23="Yes",'RAP Guidelines'!D41,0)</f>
        <v>0</v>
      </c>
      <c r="G51" s="229">
        <v>0</v>
      </c>
      <c r="H51" s="231">
        <f t="shared" si="6"/>
        <v>0</v>
      </c>
      <c r="I51" s="157" t="s">
        <v>33</v>
      </c>
    </row>
    <row r="52" spans="1:15" x14ac:dyDescent="0.25">
      <c r="B52" s="1" t="s">
        <v>37</v>
      </c>
      <c r="C52" s="236" t="s">
        <v>33</v>
      </c>
      <c r="D52" s="236" t="s">
        <v>33</v>
      </c>
      <c r="E52" s="236" t="s">
        <v>33</v>
      </c>
      <c r="F52" s="233">
        <f>IF(C24="Yes",'RAP Guidelines'!$D42*$D24,0)</f>
        <v>0</v>
      </c>
      <c r="G52" s="229">
        <v>0</v>
      </c>
      <c r="H52" s="231">
        <f t="shared" si="6"/>
        <v>0</v>
      </c>
      <c r="I52" s="157" t="s">
        <v>33</v>
      </c>
    </row>
    <row r="53" spans="1:15" x14ac:dyDescent="0.25">
      <c r="B53" s="1" t="s">
        <v>70</v>
      </c>
      <c r="C53" s="236" t="s">
        <v>33</v>
      </c>
      <c r="D53" s="236" t="s">
        <v>33</v>
      </c>
      <c r="E53" s="236" t="s">
        <v>33</v>
      </c>
      <c r="F53" s="233">
        <v>0</v>
      </c>
      <c r="G53" s="229">
        <v>0</v>
      </c>
      <c r="H53" s="231">
        <v>0</v>
      </c>
      <c r="I53" s="157" t="s">
        <v>33</v>
      </c>
    </row>
    <row r="54" spans="1:15" x14ac:dyDescent="0.25">
      <c r="B54" s="14" t="s">
        <v>71</v>
      </c>
      <c r="C54" s="230" t="s">
        <v>33</v>
      </c>
      <c r="D54" s="230" t="s">
        <v>33</v>
      </c>
      <c r="E54" s="230" t="s">
        <v>33</v>
      </c>
      <c r="F54" s="234">
        <f t="shared" ref="F54:H54" si="7">SUM(F49:F53)</f>
        <v>0</v>
      </c>
      <c r="G54" s="230">
        <f t="shared" si="7"/>
        <v>0</v>
      </c>
      <c r="H54" s="230">
        <f t="shared" si="7"/>
        <v>0</v>
      </c>
    </row>
    <row r="55" spans="1:15" ht="15.75" thickBot="1" x14ac:dyDescent="0.3">
      <c r="A55" s="11" t="s">
        <v>72</v>
      </c>
      <c r="B55" s="11"/>
      <c r="C55" s="237"/>
      <c r="D55" s="237"/>
      <c r="E55" s="237"/>
      <c r="F55" s="235">
        <f>F38+F46+F54</f>
        <v>30929.65</v>
      </c>
      <c r="G55" s="235">
        <f>G38+G46+G54</f>
        <v>0</v>
      </c>
      <c r="H55" s="232">
        <f>H38+H46+H54</f>
        <v>30929.65</v>
      </c>
    </row>
    <row r="56" spans="1:15" ht="15.75" thickTop="1" x14ac:dyDescent="0.25">
      <c r="A56" s="2"/>
      <c r="B56" s="2" t="s">
        <v>73</v>
      </c>
      <c r="C56" s="238"/>
      <c r="D56" s="238"/>
      <c r="E56" s="238"/>
      <c r="F56" s="238"/>
      <c r="G56" s="238"/>
      <c r="H56" s="214">
        <f>C18</f>
        <v>0</v>
      </c>
    </row>
    <row r="57" spans="1:15" ht="15.75" thickBot="1" x14ac:dyDescent="0.3">
      <c r="A57" s="11" t="s">
        <v>74</v>
      </c>
      <c r="B57" s="11"/>
      <c r="C57" s="237"/>
      <c r="D57" s="237"/>
      <c r="E57" s="237"/>
      <c r="F57" s="237"/>
      <c r="G57" s="237"/>
      <c r="H57" s="18">
        <f>H55-H56</f>
        <v>30929.65</v>
      </c>
    </row>
    <row r="58" spans="1:15" ht="15.75" thickTop="1" x14ac:dyDescent="0.25"/>
    <row r="59" spans="1:15" ht="30" customHeight="1" x14ac:dyDescent="0.25">
      <c r="A59" s="333" t="s">
        <v>75</v>
      </c>
      <c r="B59" s="334"/>
      <c r="C59" s="337" t="s">
        <v>76</v>
      </c>
      <c r="D59" s="338"/>
      <c r="E59" s="338"/>
      <c r="F59" s="338"/>
      <c r="G59" s="338"/>
      <c r="H59" s="339"/>
      <c r="M59" s="51"/>
      <c r="N59" s="51"/>
      <c r="O59" s="51"/>
    </row>
    <row r="60" spans="1:15" ht="38.25" customHeight="1" x14ac:dyDescent="0.25">
      <c r="A60" s="335"/>
      <c r="B60" s="336"/>
      <c r="C60" s="246" t="s">
        <v>42</v>
      </c>
      <c r="D60" s="246" t="s">
        <v>77</v>
      </c>
      <c r="E60" s="246" t="s">
        <v>78</v>
      </c>
      <c r="F60" s="246" t="s">
        <v>79</v>
      </c>
      <c r="G60" s="246" t="s">
        <v>80</v>
      </c>
      <c r="H60" s="246" t="s">
        <v>44</v>
      </c>
      <c r="M60" s="51"/>
      <c r="N60" s="51"/>
      <c r="O60" s="51"/>
    </row>
    <row r="61" spans="1:15" x14ac:dyDescent="0.25">
      <c r="B61" s="1" t="s">
        <v>81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  <c r="H61" s="161">
        <f>SUM(C61:G61)</f>
        <v>0</v>
      </c>
      <c r="M61" s="51"/>
      <c r="N61" s="51"/>
      <c r="O61" s="51"/>
    </row>
    <row r="62" spans="1:15" x14ac:dyDescent="0.25">
      <c r="B62" s="1" t="s">
        <v>82</v>
      </c>
      <c r="C62" s="177">
        <f>IF(C7&gt;0,C46*0.5,0)</f>
        <v>1153.5349999999999</v>
      </c>
      <c r="D62" s="177">
        <f>IF($C$12&gt;0,$D$46/$C$12*0.5,0)</f>
        <v>0</v>
      </c>
      <c r="E62" s="177">
        <f>IF($C$12&gt;1,$D$46/$C$12*0.5,0)</f>
        <v>0</v>
      </c>
      <c r="F62" s="177">
        <f>IF($C$12&gt;2,$D$46/$C$12*0.5,0)</f>
        <v>0</v>
      </c>
      <c r="G62" s="177">
        <f>IF($C$12&gt;3,$D$46/$C$12*0.5,0)</f>
        <v>0</v>
      </c>
      <c r="H62" s="178">
        <f>SUM(C62:G62)</f>
        <v>1153.5349999999999</v>
      </c>
      <c r="M62" s="51"/>
      <c r="N62" s="51"/>
      <c r="O62" s="51"/>
    </row>
    <row r="63" spans="1:15" ht="15.75" thickBot="1" x14ac:dyDescent="0.3">
      <c r="A63" s="11"/>
      <c r="B63" s="11" t="s">
        <v>83</v>
      </c>
      <c r="C63" s="179">
        <f>IF(C$61&gt;(C$46*0.5),C$61-(C$46*0.5),0)</f>
        <v>0</v>
      </c>
      <c r="D63" s="179">
        <f>IF(AND(D61&gt;0,D$61&gt;D$62),D$61-D$62,0)</f>
        <v>0</v>
      </c>
      <c r="E63" s="179">
        <f>IF(AND(E61&gt;0,E62&gt;0,E$61&gt;E$62),E$61-E$62,0)</f>
        <v>0</v>
      </c>
      <c r="F63" s="179">
        <f t="shared" ref="F63:H63" si="8">IF(AND(F61&gt;0,F62&gt;0,F$61&gt;F$62),F$61-F$62,0)</f>
        <v>0</v>
      </c>
      <c r="G63" s="179">
        <f t="shared" si="8"/>
        <v>0</v>
      </c>
      <c r="H63" s="179">
        <f t="shared" si="8"/>
        <v>0</v>
      </c>
      <c r="M63" s="51"/>
      <c r="N63" s="51"/>
      <c r="O63" s="51"/>
    </row>
    <row r="64" spans="1:15" ht="51" customHeight="1" thickTop="1" x14ac:dyDescent="0.25">
      <c r="D64" s="191" t="str">
        <f>IF(AND(C12&lt;1,D61&gt;0), "ERROR - Adjust Adult Dependent Figure in C11", "OK")</f>
        <v>OK</v>
      </c>
      <c r="E64" s="191" t="str">
        <f>IF(AND(C12&lt;2,E61&gt;0), "ERROR - Adjust Adult Dependent Figure in C11", "OK")</f>
        <v>OK</v>
      </c>
      <c r="F64" s="191" t="str">
        <f>IF(AND(C12&lt;3,F61&gt;0), "ERROR - Adjust Adult Dependent Figure in C11", "OK")</f>
        <v>OK</v>
      </c>
      <c r="G64" s="191" t="str">
        <f>IF(AND(C12&lt;4,G61&gt;0), "ERROR - Adjust Adult Dependent Figure in C11", "OK")</f>
        <v>OK</v>
      </c>
    </row>
  </sheetData>
  <mergeCells count="5">
    <mergeCell ref="M1:N1"/>
    <mergeCell ref="E29:F29"/>
    <mergeCell ref="C40:D40"/>
    <mergeCell ref="A59:B60"/>
    <mergeCell ref="C59:H59"/>
  </mergeCells>
  <dataValidations disablePrompts="1" count="3">
    <dataValidation type="list" allowBlank="1" showInputMessage="1" showErrorMessage="1" sqref="M21:N24 C21:C25" xr:uid="{00000000-0002-0000-0300-000000000000}">
      <formula1>"Yes, No"</formula1>
    </dataValidation>
    <dataValidation type="list" allowBlank="1" showInputMessage="1" showErrorMessage="1" sqref="M8" xr:uid="{00000000-0002-0000-0300-000001000000}">
      <formula1>"Single or Single Parent, Couple"</formula1>
    </dataValidation>
    <dataValidation type="whole" allowBlank="1" showInputMessage="1" showErrorMessage="1" sqref="C7:C13 M7" xr:uid="{00000000-0002-0000-0300-000002000000}">
      <formula1>1</formula1>
      <formula2>15</formula2>
    </dataValidation>
  </dataValidations>
  <pageMargins left="0.7" right="0.7" top="0.75" bottom="0.75" header="0.3" footer="0.3"/>
  <pageSetup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64"/>
  <sheetViews>
    <sheetView zoomScale="55" zoomScaleNormal="55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N29" sqref="N29"/>
    </sheetView>
  </sheetViews>
  <sheetFormatPr defaultColWidth="9.140625" defaultRowHeight="15" outlineLevelCol="1" x14ac:dyDescent="0.25"/>
  <cols>
    <col min="1" max="1" width="4" style="1" customWidth="1"/>
    <col min="2" max="2" width="75.28515625" style="1" customWidth="1"/>
    <col min="3" max="3" width="37.28515625" style="1" customWidth="1"/>
    <col min="4" max="4" width="32.7109375" style="1" customWidth="1"/>
    <col min="5" max="5" width="30.85546875" style="1" customWidth="1"/>
    <col min="6" max="6" width="30.140625" style="51" customWidth="1"/>
    <col min="7" max="7" width="31.42578125" style="51" customWidth="1"/>
    <col min="8" max="8" width="30.140625" style="51" customWidth="1"/>
    <col min="9" max="9" width="6.42578125" style="51" customWidth="1"/>
    <col min="10" max="10" width="18.5703125" customWidth="1"/>
    <col min="11" max="11" width="27.28515625" style="92" customWidth="1"/>
    <col min="12" max="12" width="2.42578125" style="92" customWidth="1"/>
    <col min="13" max="13" width="28.28515625" style="1" customWidth="1"/>
    <col min="14" max="14" width="28.5703125" style="1" customWidth="1"/>
    <col min="15" max="15" width="6.28515625" style="1" customWidth="1"/>
    <col min="16" max="26" width="9.42578125" style="1" hidden="1" customWidth="1" outlineLevel="1"/>
    <col min="27" max="28" width="9.140625" style="1" hidden="1" customWidth="1" outlineLevel="1"/>
    <col min="29" max="29" width="9.140625" style="1" collapsed="1"/>
    <col min="30" max="16384" width="9.140625" style="1"/>
  </cols>
  <sheetData>
    <row r="1" spans="1:28" s="50" customFormat="1" ht="43.5" customHeight="1" x14ac:dyDescent="0.25">
      <c r="A1" s="277" t="s">
        <v>90</v>
      </c>
      <c r="B1" s="278"/>
      <c r="C1" s="278"/>
      <c r="D1" s="278"/>
      <c r="E1" s="278"/>
      <c r="F1" s="279"/>
      <c r="G1" s="279"/>
      <c r="H1" s="279"/>
      <c r="I1" s="279"/>
      <c r="K1" s="286"/>
      <c r="L1" s="286"/>
      <c r="M1" s="351"/>
      <c r="N1" s="351"/>
      <c r="O1" s="1"/>
      <c r="P1" s="1"/>
      <c r="Q1" s="1"/>
      <c r="R1" s="1"/>
      <c r="S1" s="1"/>
      <c r="T1" s="1"/>
      <c r="U1" s="1"/>
      <c r="V1" s="1"/>
      <c r="W1" s="1"/>
    </row>
    <row r="2" spans="1:28" ht="5.25" customHeight="1" x14ac:dyDescent="0.25">
      <c r="A2" s="139"/>
      <c r="I2" s="1"/>
    </row>
    <row r="3" spans="1:28" ht="84.75" customHeight="1" x14ac:dyDescent="0.25">
      <c r="A3" s="272"/>
      <c r="B3" s="239"/>
      <c r="C3" s="283" t="s">
        <v>2</v>
      </c>
      <c r="D3" s="255" t="s">
        <v>3</v>
      </c>
      <c r="E3" s="255" t="s">
        <v>3</v>
      </c>
      <c r="F3" s="255" t="s">
        <v>3</v>
      </c>
      <c r="I3" s="1"/>
      <c r="M3" s="298"/>
      <c r="N3" s="298"/>
    </row>
    <row r="4" spans="1:28" ht="32.25" customHeight="1" x14ac:dyDescent="0.25">
      <c r="A4" s="242" t="s">
        <v>6</v>
      </c>
      <c r="B4" s="239"/>
      <c r="C4" s="305">
        <f>'User Input Sheet'!C4</f>
        <v>0</v>
      </c>
      <c r="D4" s="257"/>
      <c r="E4" s="258"/>
      <c r="F4" s="259"/>
      <c r="I4" s="1"/>
      <c r="M4" s="299"/>
      <c r="N4" s="51"/>
    </row>
    <row r="5" spans="1:28" ht="32.25" customHeight="1" x14ac:dyDescent="0.25">
      <c r="A5" s="242" t="s">
        <v>7</v>
      </c>
      <c r="B5" s="240"/>
      <c r="C5" s="305">
        <f>'User Input Sheet'!C5</f>
        <v>0</v>
      </c>
      <c r="D5" s="260"/>
      <c r="E5" s="256"/>
      <c r="F5" s="261"/>
      <c r="I5" s="1"/>
      <c r="M5" s="299"/>
      <c r="N5" s="51"/>
    </row>
    <row r="6" spans="1:28" ht="32.25" customHeight="1" x14ac:dyDescent="0.25">
      <c r="A6" s="242" t="s">
        <v>8</v>
      </c>
      <c r="B6" s="240"/>
      <c r="C6" s="305">
        <f>'User Input Sheet'!C6</f>
        <v>0</v>
      </c>
      <c r="D6" s="260"/>
      <c r="E6" s="256"/>
      <c r="F6" s="261"/>
      <c r="I6" s="152"/>
      <c r="M6" s="289"/>
      <c r="N6" s="51"/>
    </row>
    <row r="7" spans="1:28" ht="32.25" customHeight="1" x14ac:dyDescent="0.25">
      <c r="A7" s="242" t="s">
        <v>9</v>
      </c>
      <c r="B7" s="240"/>
      <c r="C7" s="306">
        <f>'User Input Sheet'!O7</f>
        <v>0</v>
      </c>
      <c r="D7" s="262" t="str">
        <f>IF(AND(C8="Couple",2+C9=C7),"OK",IF(1+C9=C7, "OK", "Review: Family Size,  Family Composition &amp; Number of Children"))</f>
        <v>Review: Family Size,  Family Composition &amp; Number of Children</v>
      </c>
      <c r="E7" s="256"/>
      <c r="F7" s="261"/>
      <c r="I7" s="1"/>
      <c r="M7" s="289"/>
      <c r="N7" s="300"/>
    </row>
    <row r="8" spans="1:28" ht="32.25" customHeight="1" x14ac:dyDescent="0.25">
      <c r="A8" s="242" t="s">
        <v>10</v>
      </c>
      <c r="B8" s="240"/>
      <c r="C8" s="306" t="str">
        <f>'User Input Sheet'!O8</f>
        <v>Children</v>
      </c>
      <c r="D8" s="262" t="str">
        <f>IF(AND(C8="Couple",C7=1),"ERROR - Family Size does not match Family Composition","OK")</f>
        <v>OK</v>
      </c>
      <c r="E8" s="256"/>
      <c r="F8" s="261"/>
      <c r="I8" s="140"/>
      <c r="M8" s="289"/>
      <c r="N8" s="300"/>
      <c r="P8" s="140"/>
      <c r="Q8" s="140"/>
      <c r="R8" s="140"/>
      <c r="S8" s="140"/>
      <c r="T8" s="140"/>
      <c r="U8" s="140"/>
      <c r="V8" s="140"/>
      <c r="W8" s="140"/>
    </row>
    <row r="9" spans="1:28" ht="32.25" customHeight="1" x14ac:dyDescent="0.25">
      <c r="A9" s="242" t="s">
        <v>13</v>
      </c>
      <c r="B9" s="240"/>
      <c r="C9" s="306">
        <f>'User Input Sheet'!O9</f>
        <v>0</v>
      </c>
      <c r="D9" s="262" t="str">
        <f>IF(C9&gt;C7,"ERROR - Number of Children does not correspond with Family Size","OK")</f>
        <v>OK</v>
      </c>
      <c r="E9" s="228" t="str">
        <f>IF(AND(C8="Single or Single Parent",C7-C9&lt;&gt;1),"ERROR - In Either Family Size, Family Composition and/or Number of Children ","OK")</f>
        <v>OK</v>
      </c>
      <c r="F9" s="263" t="str">
        <f>IF(AND(C8="Couple",C7-C9&lt;=1),"ERROR - In Either Family Size, Family Composition and/or Number of Children ","OK")</f>
        <v>OK</v>
      </c>
      <c r="I9" s="1"/>
      <c r="M9" s="289"/>
      <c r="N9" s="300"/>
    </row>
    <row r="10" spans="1:28" ht="32.25" customHeight="1" x14ac:dyDescent="0.25">
      <c r="A10" s="242" t="s">
        <v>14</v>
      </c>
      <c r="B10" s="240"/>
      <c r="C10" s="306">
        <f>'User Input Sheet'!O10</f>
        <v>0</v>
      </c>
      <c r="D10" s="262" t="str">
        <f>IF(C9-C11-C12=C10,"OK", "Review: # of Children, # of Pre-School Age Children, # of School Age Children, and # of Children 18-21")</f>
        <v>OK</v>
      </c>
      <c r="E10" s="228"/>
      <c r="F10" s="261"/>
      <c r="G10" s="1"/>
      <c r="H10" s="1"/>
      <c r="I10" s="1"/>
      <c r="J10" s="1"/>
      <c r="K10" s="137"/>
      <c r="L10" s="137"/>
      <c r="M10" s="289"/>
      <c r="N10" s="300"/>
    </row>
    <row r="11" spans="1:28" ht="32.25" customHeight="1" x14ac:dyDescent="0.25">
      <c r="A11" s="242" t="s">
        <v>15</v>
      </c>
      <c r="B11" s="240"/>
      <c r="C11" s="306">
        <f>'User Input Sheet'!O11</f>
        <v>0</v>
      </c>
      <c r="D11" s="262" t="str">
        <f>IF(AND(C8="Couple",C11=C9-C10-C12-2),"Review: # of Children, # of Pre-School Age Children, # of School Age Children, and # of Children 18-21","OK")</f>
        <v>OK</v>
      </c>
      <c r="E11" s="256"/>
      <c r="F11" s="261"/>
      <c r="I11" s="1"/>
      <c r="M11" s="289"/>
      <c r="N11" s="300"/>
    </row>
    <row r="12" spans="1:28" ht="32.25" customHeight="1" x14ac:dyDescent="0.25">
      <c r="A12" s="242" t="s">
        <v>16</v>
      </c>
      <c r="B12" s="240"/>
      <c r="C12" s="306">
        <f>'User Input Sheet'!O12</f>
        <v>0</v>
      </c>
      <c r="D12" s="262" t="str">
        <f>IF(C9-C11-C10=C12, "OK", "Review: # of Children, # of Pre-School Age Children, # of School Age Children, and # of Children 18-21")</f>
        <v>OK</v>
      </c>
      <c r="E12" s="256"/>
      <c r="F12" s="261"/>
      <c r="I12" s="1"/>
      <c r="M12" s="289"/>
      <c r="N12" s="300"/>
    </row>
    <row r="13" spans="1:28" ht="32.25" customHeight="1" x14ac:dyDescent="0.25">
      <c r="A13" s="242" t="s">
        <v>17</v>
      </c>
      <c r="B13" s="240"/>
      <c r="C13" s="306">
        <f>'User Input Sheet'!O13</f>
        <v>0</v>
      </c>
      <c r="D13" s="262"/>
      <c r="E13" s="256"/>
      <c r="F13" s="261"/>
      <c r="I13" s="1"/>
      <c r="M13" s="289"/>
      <c r="N13" s="300"/>
      <c r="P13" s="145" t="s">
        <v>18</v>
      </c>
      <c r="Q13" s="146">
        <v>1</v>
      </c>
      <c r="R13" s="146">
        <v>2</v>
      </c>
      <c r="S13" s="146">
        <v>3</v>
      </c>
      <c r="T13" s="146">
        <v>4</v>
      </c>
      <c r="U13" s="146">
        <v>5</v>
      </c>
      <c r="V13" s="146">
        <v>6</v>
      </c>
      <c r="W13" s="146">
        <v>7</v>
      </c>
      <c r="X13" s="146">
        <v>8</v>
      </c>
      <c r="Y13" s="146">
        <v>9</v>
      </c>
      <c r="Z13" s="146">
        <v>10</v>
      </c>
      <c r="AA13" s="146">
        <v>11</v>
      </c>
      <c r="AB13" s="146">
        <v>12</v>
      </c>
    </row>
    <row r="14" spans="1:28" ht="32.25" customHeight="1" x14ac:dyDescent="0.25">
      <c r="A14" s="243" t="s">
        <v>19</v>
      </c>
      <c r="B14" s="240"/>
      <c r="C14" s="307">
        <f>'User Input Sheet'!O14</f>
        <v>0</v>
      </c>
      <c r="D14" s="260"/>
      <c r="E14" s="256"/>
      <c r="F14" s="261"/>
      <c r="I14" s="1"/>
      <c r="M14" s="301"/>
      <c r="N14" s="300"/>
      <c r="P14" s="145" t="s">
        <v>20</v>
      </c>
      <c r="Q14" s="147">
        <f>EDATE(C14,0)</f>
        <v>0</v>
      </c>
      <c r="R14" s="147">
        <f t="shared" ref="R14:AB14" si="0">EDATE($C$14,Q13)</f>
        <v>31</v>
      </c>
      <c r="S14" s="147">
        <f t="shared" si="0"/>
        <v>60</v>
      </c>
      <c r="T14" s="147">
        <f t="shared" si="0"/>
        <v>91</v>
      </c>
      <c r="U14" s="147">
        <f t="shared" si="0"/>
        <v>121</v>
      </c>
      <c r="V14" s="147">
        <f t="shared" si="0"/>
        <v>152</v>
      </c>
      <c r="W14" s="147">
        <f t="shared" si="0"/>
        <v>182</v>
      </c>
      <c r="X14" s="147">
        <f t="shared" si="0"/>
        <v>213</v>
      </c>
      <c r="Y14" s="147">
        <f t="shared" si="0"/>
        <v>244</v>
      </c>
      <c r="Z14" s="147">
        <f t="shared" si="0"/>
        <v>274</v>
      </c>
      <c r="AA14" s="147">
        <f t="shared" si="0"/>
        <v>305</v>
      </c>
      <c r="AB14" s="147">
        <f t="shared" si="0"/>
        <v>335</v>
      </c>
    </row>
    <row r="15" spans="1:28" ht="32.25" customHeight="1" x14ac:dyDescent="0.25">
      <c r="A15" s="242" t="s">
        <v>21</v>
      </c>
      <c r="B15" s="241"/>
      <c r="C15" s="308">
        <f>'User Input Sheet'!C15</f>
        <v>156</v>
      </c>
      <c r="D15" s="260"/>
      <c r="E15" s="256"/>
      <c r="F15" s="261"/>
      <c r="I15" s="1"/>
      <c r="M15" s="288"/>
      <c r="N15" s="302"/>
    </row>
    <row r="16" spans="1:28" ht="32.25" customHeight="1" x14ac:dyDescent="0.25">
      <c r="A16" s="242" t="s">
        <v>22</v>
      </c>
      <c r="B16" s="240"/>
      <c r="C16" s="308">
        <f>'User Input Sheet'!C16</f>
        <v>10000</v>
      </c>
      <c r="D16" s="260"/>
      <c r="E16" s="256"/>
      <c r="F16" s="261"/>
      <c r="I16" s="1"/>
      <c r="M16" s="288"/>
      <c r="N16" s="288"/>
      <c r="O16" s="151"/>
    </row>
    <row r="17" spans="1:25" ht="32.25" customHeight="1" x14ac:dyDescent="0.25">
      <c r="A17" s="242" t="s">
        <v>23</v>
      </c>
      <c r="B17" s="240"/>
      <c r="C17" s="308">
        <f>'User Input Sheet'!C17</f>
        <v>0</v>
      </c>
      <c r="D17" s="260"/>
      <c r="E17" s="256"/>
      <c r="F17" s="261"/>
      <c r="I17" s="1"/>
      <c r="M17" s="288"/>
      <c r="N17" s="288"/>
      <c r="O17" s="151"/>
    </row>
    <row r="18" spans="1:25" ht="32.25" customHeight="1" x14ac:dyDescent="0.25">
      <c r="A18" s="242" t="s">
        <v>24</v>
      </c>
      <c r="B18" s="240"/>
      <c r="C18" s="254">
        <f>'User Input Sheet'!C18</f>
        <v>0</v>
      </c>
      <c r="D18" s="264"/>
      <c r="E18" s="265"/>
      <c r="F18" s="266"/>
      <c r="I18" s="1"/>
      <c r="M18" s="303"/>
      <c r="N18" s="300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ht="5.25" customHeight="1" x14ac:dyDescent="0.25">
      <c r="I19" s="1"/>
      <c r="M19" s="142"/>
      <c r="O19" s="143"/>
      <c r="P19" s="141"/>
      <c r="Q19" s="141"/>
      <c r="T19" s="141"/>
      <c r="U19" s="141"/>
      <c r="V19" s="141"/>
      <c r="W19" s="141"/>
    </row>
    <row r="20" spans="1:25" ht="42" customHeight="1" x14ac:dyDescent="0.25">
      <c r="A20" s="244" t="s">
        <v>25</v>
      </c>
      <c r="B20" s="245"/>
      <c r="C20" s="246" t="s">
        <v>26</v>
      </c>
      <c r="D20" s="246" t="s">
        <v>27</v>
      </c>
      <c r="E20" s="227" t="s">
        <v>28</v>
      </c>
      <c r="F20" s="255" t="s">
        <v>3</v>
      </c>
      <c r="G20" s="284" t="s">
        <v>3</v>
      </c>
      <c r="H20" s="284" t="s">
        <v>3</v>
      </c>
      <c r="I20" s="1"/>
      <c r="M20" s="304"/>
      <c r="N20" s="304"/>
      <c r="O20" s="143"/>
      <c r="P20" s="141"/>
      <c r="Q20" s="141"/>
      <c r="T20" s="141"/>
      <c r="U20" s="141"/>
      <c r="V20" s="141"/>
      <c r="W20" s="141"/>
    </row>
    <row r="21" spans="1:25" ht="30.75" customHeight="1" x14ac:dyDescent="0.25">
      <c r="B21" s="1" t="s">
        <v>29</v>
      </c>
      <c r="C21" s="160" t="str">
        <f>'User Input Sheet'!M21</f>
        <v>No</v>
      </c>
      <c r="D21" s="160">
        <f>'User Input Sheet'!D21</f>
        <v>0</v>
      </c>
      <c r="E21" s="267" t="s">
        <v>31</v>
      </c>
      <c r="F21" s="268" t="str">
        <f>IF(D21&gt;9,"ERROR - Maximum Support Months Exceeded", "OK")</f>
        <v>OK</v>
      </c>
      <c r="G21" s="256"/>
      <c r="H21" s="261"/>
      <c r="I21" s="1"/>
      <c r="M21" s="289"/>
      <c r="N21" s="289"/>
      <c r="O21" s="143"/>
      <c r="P21" s="141"/>
      <c r="Q21" s="141"/>
      <c r="T21" s="141"/>
      <c r="U21" s="141"/>
      <c r="V21" s="141"/>
      <c r="W21" s="141"/>
    </row>
    <row r="22" spans="1:25" ht="30.75" customHeight="1" x14ac:dyDescent="0.25">
      <c r="B22" s="1" t="s">
        <v>32</v>
      </c>
      <c r="C22" s="160" t="str">
        <f>'User Input Sheet'!M22</f>
        <v>No</v>
      </c>
      <c r="D22" s="87" t="str">
        <f>'User Input Sheet'!D22</f>
        <v>N/A</v>
      </c>
      <c r="E22" s="267" t="s">
        <v>34</v>
      </c>
      <c r="F22" s="260"/>
      <c r="G22" s="256"/>
      <c r="H22" s="261"/>
      <c r="I22" s="1"/>
      <c r="M22" s="289"/>
      <c r="N22" s="289"/>
      <c r="O22" s="143"/>
      <c r="P22" s="141"/>
      <c r="Q22" s="141"/>
      <c r="T22" s="141"/>
      <c r="U22" s="141"/>
      <c r="V22" s="141"/>
      <c r="W22" s="141"/>
    </row>
    <row r="23" spans="1:25" ht="30.75" customHeight="1" x14ac:dyDescent="0.25">
      <c r="B23" s="1" t="s">
        <v>35</v>
      </c>
      <c r="C23" s="160" t="str">
        <f>'User Input Sheet'!M23</f>
        <v>No</v>
      </c>
      <c r="D23" s="87" t="str">
        <f>'User Input Sheet'!D23</f>
        <v>N/A</v>
      </c>
      <c r="E23" s="267" t="s">
        <v>36</v>
      </c>
      <c r="F23" s="260"/>
      <c r="G23" s="256"/>
      <c r="H23" s="261"/>
      <c r="I23" s="1"/>
      <c r="M23" s="289"/>
      <c r="N23" s="289"/>
      <c r="O23" s="143"/>
      <c r="P23" s="141"/>
      <c r="Q23" s="141"/>
      <c r="T23" s="141"/>
      <c r="U23" s="141"/>
      <c r="V23" s="141"/>
      <c r="W23" s="141"/>
    </row>
    <row r="24" spans="1:25" ht="30.75" customHeight="1" x14ac:dyDescent="0.25">
      <c r="B24" s="1" t="s">
        <v>37</v>
      </c>
      <c r="C24" s="160" t="str">
        <f>'User Input Sheet'!M24</f>
        <v>No</v>
      </c>
      <c r="D24" s="160">
        <f>'User Input Sheet'!D24</f>
        <v>0</v>
      </c>
      <c r="E24" s="267" t="s">
        <v>38</v>
      </c>
      <c r="F24" s="260"/>
      <c r="G24" s="256"/>
      <c r="H24" s="261"/>
      <c r="I24" s="1"/>
      <c r="M24" s="289"/>
      <c r="N24" s="289"/>
      <c r="O24" s="143"/>
      <c r="P24" s="141"/>
      <c r="Q24" s="141"/>
      <c r="T24" s="141"/>
      <c r="U24" s="141"/>
      <c r="V24" s="141"/>
      <c r="W24" s="141"/>
    </row>
    <row r="25" spans="1:25" ht="45" x14ac:dyDescent="0.25">
      <c r="B25" s="1" t="s">
        <v>39</v>
      </c>
      <c r="C25" s="160" t="str">
        <f>'User Input Sheet'!M25</f>
        <v>No</v>
      </c>
      <c r="D25" s="160">
        <f>'User Input Sheet'!D25</f>
        <v>0</v>
      </c>
      <c r="E25" s="267" t="s">
        <v>40</v>
      </c>
      <c r="F25" s="269" t="str">
        <f>IF(D25&gt;2,"ERROR - Maximum Number Exceeded", "OK")</f>
        <v>OK</v>
      </c>
      <c r="G25" s="270" t="str">
        <f>IF(AND(C25="Yes",D25=0), "Error - D25 must be greater than 0", "OK")</f>
        <v>OK</v>
      </c>
      <c r="H25" s="271" t="str">
        <f>IF(AND(C25="No",D25&gt;0), "Error - D25 must 0", "OK")</f>
        <v>OK</v>
      </c>
      <c r="M25" s="300"/>
      <c r="N25" s="300"/>
      <c r="O25" s="143"/>
      <c r="P25" s="141"/>
      <c r="Q25" s="141"/>
      <c r="T25" s="141"/>
      <c r="U25" s="141"/>
      <c r="V25" s="141"/>
      <c r="W25" s="141"/>
    </row>
    <row r="26" spans="1:25" ht="7.5" customHeight="1" x14ac:dyDescent="0.25">
      <c r="I26" s="1"/>
      <c r="M26" s="142"/>
      <c r="O26" s="143"/>
      <c r="P26" s="141"/>
      <c r="Q26" s="141"/>
      <c r="T26" s="141"/>
      <c r="U26" s="141"/>
      <c r="V26" s="141"/>
      <c r="W26" s="141"/>
    </row>
    <row r="27" spans="1:25" ht="54.75" customHeight="1" x14ac:dyDescent="0.25">
      <c r="A27" s="247" t="s">
        <v>41</v>
      </c>
      <c r="B27" s="248"/>
      <c r="C27" s="246" t="s">
        <v>42</v>
      </c>
      <c r="D27" s="246" t="s">
        <v>43</v>
      </c>
      <c r="E27" s="246" t="s">
        <v>44</v>
      </c>
      <c r="F27" s="246" t="s">
        <v>45</v>
      </c>
      <c r="G27" s="246" t="s">
        <v>46</v>
      </c>
      <c r="H27" s="246" t="s">
        <v>47</v>
      </c>
      <c r="I27" s="144"/>
    </row>
    <row r="28" spans="1:25" ht="5.25" customHeight="1" x14ac:dyDescent="0.25">
      <c r="I28" s="1"/>
      <c r="M28" s="141"/>
      <c r="N28" s="141"/>
      <c r="O28" s="141"/>
      <c r="R28" s="141"/>
      <c r="S28" s="141"/>
      <c r="T28" s="141"/>
      <c r="U28" s="141"/>
    </row>
    <row r="29" spans="1:25" ht="57" customHeight="1" x14ac:dyDescent="0.25">
      <c r="A29" s="249" t="s">
        <v>48</v>
      </c>
      <c r="B29" s="40"/>
      <c r="C29" s="246" t="s">
        <v>42</v>
      </c>
      <c r="D29" s="246" t="s">
        <v>43</v>
      </c>
      <c r="E29" s="340" t="s">
        <v>49</v>
      </c>
      <c r="F29" s="341"/>
      <c r="G29" s="246" t="s">
        <v>46</v>
      </c>
      <c r="H29" s="246" t="s">
        <v>47</v>
      </c>
      <c r="J29" s="33" t="s">
        <v>50</v>
      </c>
      <c r="K29" s="33" t="s">
        <v>28</v>
      </c>
    </row>
    <row r="30" spans="1:25" x14ac:dyDescent="0.25">
      <c r="B30" s="1" t="s">
        <v>51</v>
      </c>
      <c r="C30" s="217" t="e">
        <f>VLOOKUP($C$7-$C$12,'RAP Guidelines'!$L$7:$X$16,2)</f>
        <v>#N/A</v>
      </c>
      <c r="D30" s="217">
        <f>IF(C12&gt;0,(VLOOKUP(1,'RAP Guidelines'!$L$7:$X$16,2)*C12),0)</f>
        <v>0</v>
      </c>
      <c r="E30" s="219"/>
      <c r="F30" s="226" t="e">
        <f>SUM(C30:D30)</f>
        <v>#N/A</v>
      </c>
      <c r="G30" s="220">
        <v>0</v>
      </c>
      <c r="H30" s="219" t="e">
        <f>IF(F30-G30&gt;=0,F30-G30,0)</f>
        <v>#N/A</v>
      </c>
      <c r="I30" s="157" t="e">
        <f>IF(G30&gt;(F30*'RAP Guidelines'!Y28),"Error: In-Kind Deduction Limit Exceeded","OK")</f>
        <v>#N/A</v>
      </c>
      <c r="J30" s="43" t="e">
        <f>F30*'RAP Guidelines'!Y28</f>
        <v>#N/A</v>
      </c>
      <c r="K30" s="137"/>
    </row>
    <row r="31" spans="1:25" x14ac:dyDescent="0.25">
      <c r="B31" s="1" t="s">
        <v>52</v>
      </c>
      <c r="C31" s="217" t="e">
        <f>IF($C$8="Single or Single Parent",VLOOKUP($C$7-$C$12,'RAP Guidelines'!$L$7:$X$16,6), VLOOKUP($C$7-$C$12,'RAP Guidelines'!$L$7:$X$16,10,FALSE))</f>
        <v>#N/A</v>
      </c>
      <c r="D31" s="217">
        <f>IF($C$12&gt;0,(VLOOKUP(1,'RAP Guidelines'!$L$7:$X$16,6)*$C$12),0)</f>
        <v>0</v>
      </c>
      <c r="E31" s="219"/>
      <c r="F31" s="226" t="e">
        <f t="shared" ref="F31:F36" si="1">SUM(C31:D31)</f>
        <v>#N/A</v>
      </c>
      <c r="G31" s="220">
        <v>0</v>
      </c>
      <c r="H31" s="219" t="e">
        <f t="shared" ref="H31:H37" si="2">IF(F31-G31&gt;=0,F31-G31,0)</f>
        <v>#N/A</v>
      </c>
      <c r="I31" s="157" t="e">
        <f>IF(G31&gt;(F31*'RAP Guidelines'!Y29),"Error: In-Kind Deduction Limit Exceeded","OK")</f>
        <v>#N/A</v>
      </c>
      <c r="J31" s="43" t="e">
        <f>F31*'RAP Guidelines'!Y29</f>
        <v>#N/A</v>
      </c>
      <c r="K31" s="137"/>
    </row>
    <row r="32" spans="1:25" x14ac:dyDescent="0.25">
      <c r="B32" s="1" t="s">
        <v>53</v>
      </c>
      <c r="C32" s="217" t="e">
        <f>IF($C$8="Single or Single Parent",VLOOKUP($C$7-$C$12,'RAP Guidelines'!$L$7:$X$16,7), VLOOKUP($C$7-$C$12,'RAP Guidelines'!$L$7:$X$16,11,FALSE))</f>
        <v>#N/A</v>
      </c>
      <c r="D32" s="217">
        <f>IF($C$12&gt;0,(VLOOKUP(1,'RAP Guidelines'!$L$7:$X$16,7)*$C$12),0)</f>
        <v>0</v>
      </c>
      <c r="E32" s="219"/>
      <c r="F32" s="226" t="e">
        <f t="shared" si="1"/>
        <v>#N/A</v>
      </c>
      <c r="G32" s="220">
        <v>0</v>
      </c>
      <c r="H32" s="219" t="e">
        <f t="shared" si="2"/>
        <v>#N/A</v>
      </c>
      <c r="I32" s="157" t="e">
        <f>IF(G32&gt;(F32*'RAP Guidelines'!Y30),"Error: In-Kind Deduction Limit Exceeded","OK")</f>
        <v>#N/A</v>
      </c>
      <c r="J32" s="43" t="e">
        <f>F32*'RAP Guidelines'!Y30</f>
        <v>#N/A</v>
      </c>
      <c r="K32" s="137"/>
    </row>
    <row r="33" spans="1:12" x14ac:dyDescent="0.25">
      <c r="B33" s="1" t="s">
        <v>54</v>
      </c>
      <c r="C33" s="217" t="e">
        <f>VLOOKUP($C$7-$C$12,'RAP Guidelines'!$L$7:$X$16,3)</f>
        <v>#N/A</v>
      </c>
      <c r="D33" s="217">
        <f>IF($C$12&gt;0,(VLOOKUP(1,'RAP Guidelines'!$L$7:$X$16,3)*$C$12),0)</f>
        <v>0</v>
      </c>
      <c r="E33" s="219"/>
      <c r="F33" s="226" t="e">
        <f t="shared" si="1"/>
        <v>#N/A</v>
      </c>
      <c r="G33" s="220">
        <v>0</v>
      </c>
      <c r="H33" s="219" t="e">
        <f t="shared" si="2"/>
        <v>#N/A</v>
      </c>
      <c r="I33" s="157" t="e">
        <f>IF(G33&gt;(F33*'RAP Guidelines'!Y31),"Error: In-Kind Deduction Limit Exceeded","OK")</f>
        <v>#N/A</v>
      </c>
      <c r="J33" s="43" t="e">
        <f>F33*'RAP Guidelines'!Y31</f>
        <v>#N/A</v>
      </c>
      <c r="K33" s="137"/>
    </row>
    <row r="34" spans="1:12" x14ac:dyDescent="0.25">
      <c r="B34" s="1" t="s">
        <v>55</v>
      </c>
      <c r="C34" s="217" t="e">
        <f>IF($C$8="Single or Single Parent",VLOOKUP($C$7-$C$12,'RAP Guidelines'!$L$7:$X$16,8), VLOOKUP($C$7-$C$12,'RAP Guidelines'!$L$7:$X$16,12,FALSE))</f>
        <v>#N/A</v>
      </c>
      <c r="D34" s="217">
        <f>IF($C$12&gt;0,(VLOOKUP(1,'RAP Guidelines'!$L$7:$X$16,8)*$C$12),0)</f>
        <v>0</v>
      </c>
      <c r="E34" s="219"/>
      <c r="F34" s="226" t="e">
        <f t="shared" si="1"/>
        <v>#N/A</v>
      </c>
      <c r="G34" s="220">
        <v>0</v>
      </c>
      <c r="H34" s="219" t="e">
        <f t="shared" si="2"/>
        <v>#N/A</v>
      </c>
      <c r="I34" s="157" t="e">
        <f>IF(G34&gt;(F34*'RAP Guidelines'!Y32),"Error: In-Kind Deduction Limit Exceeded","OK")</f>
        <v>#N/A</v>
      </c>
      <c r="J34" s="43" t="e">
        <f>F34*'RAP Guidelines'!Y32</f>
        <v>#N/A</v>
      </c>
      <c r="K34" s="137"/>
    </row>
    <row r="35" spans="1:12" x14ac:dyDescent="0.25">
      <c r="B35" s="1" t="s">
        <v>56</v>
      </c>
      <c r="C35" s="217" t="e">
        <f>VLOOKUP($C$7-$C$12,'RAP Guidelines'!$L$7:$X$16,4)</f>
        <v>#N/A</v>
      </c>
      <c r="D35" s="217">
        <f>IF($C$12&gt;0,(VLOOKUP(1,'RAP Guidelines'!$L$7:$X$16,4)*$C$12),0)</f>
        <v>0</v>
      </c>
      <c r="E35" s="219"/>
      <c r="F35" s="226" t="e">
        <f t="shared" si="1"/>
        <v>#N/A</v>
      </c>
      <c r="G35" s="220">
        <v>0</v>
      </c>
      <c r="H35" s="219" t="e">
        <f t="shared" si="2"/>
        <v>#N/A</v>
      </c>
      <c r="I35" s="157" t="e">
        <f>IF(G35&gt;(F35*'RAP Guidelines'!Y33),"Error: In-Kind Deduction Limit Exceeded","OK")</f>
        <v>#N/A</v>
      </c>
      <c r="J35" s="43" t="e">
        <f>F35*'RAP Guidelines'!Y33</f>
        <v>#N/A</v>
      </c>
      <c r="K35" s="137"/>
    </row>
    <row r="36" spans="1:12" x14ac:dyDescent="0.25">
      <c r="B36" s="1" t="s">
        <v>57</v>
      </c>
      <c r="C36" s="217" t="e">
        <f>VLOOKUP($C$7-$C$12,'RAP Guidelines'!$L$7:$X$16,5)</f>
        <v>#N/A</v>
      </c>
      <c r="D36" s="217">
        <f>IF($C$12&gt;0,(VLOOKUP(1,'RAP Guidelines'!$L$7:$X$16,5)*$C$12),0)</f>
        <v>0</v>
      </c>
      <c r="E36" s="219"/>
      <c r="F36" s="226" t="e">
        <f t="shared" si="1"/>
        <v>#N/A</v>
      </c>
      <c r="G36" s="221">
        <v>0</v>
      </c>
      <c r="H36" s="219" t="e">
        <f t="shared" si="2"/>
        <v>#N/A</v>
      </c>
      <c r="I36" s="157" t="e">
        <f>IF(G36&gt;(F36*'RAP Guidelines'!Y34),"Error: In-Kind Deduction Limit Exceeded","OK")</f>
        <v>#N/A</v>
      </c>
      <c r="J36" s="43" t="e">
        <f>F36*'RAP Guidelines'!Y34</f>
        <v>#N/A</v>
      </c>
      <c r="K36" s="137"/>
      <c r="L36" s="137"/>
    </row>
    <row r="37" spans="1:12" x14ac:dyDescent="0.25">
      <c r="B37" s="1" t="s">
        <v>58</v>
      </c>
      <c r="C37" s="217">
        <f>IF(C25="Yes",'RAP Guidelines'!$D43*$D25*C11,0)</f>
        <v>0</v>
      </c>
      <c r="D37" s="223" t="s">
        <v>33</v>
      </c>
      <c r="E37" s="219"/>
      <c r="F37" s="226">
        <f>C37</f>
        <v>0</v>
      </c>
      <c r="G37" s="221">
        <v>0</v>
      </c>
      <c r="H37" s="219">
        <f t="shared" si="2"/>
        <v>0</v>
      </c>
      <c r="I37" s="157" t="str">
        <f>IF(G37&gt;(F37*'RAP Guidelines'!Y35),"Error: In-Kind Deduction Limit Exceeded","OK")</f>
        <v>OK</v>
      </c>
      <c r="J37" s="43">
        <f>F37*'RAP Guidelines'!Y35</f>
        <v>0</v>
      </c>
      <c r="K37" s="137"/>
      <c r="L37" s="137"/>
    </row>
    <row r="38" spans="1:12" ht="15.75" thickBot="1" x14ac:dyDescent="0.3">
      <c r="B38" s="36" t="s">
        <v>59</v>
      </c>
      <c r="C38" s="218" t="e">
        <f t="shared" ref="C38:H38" si="3">SUM(C30:C37)</f>
        <v>#N/A</v>
      </c>
      <c r="D38" s="218">
        <f t="shared" si="3"/>
        <v>0</v>
      </c>
      <c r="E38" s="218"/>
      <c r="F38" s="218" t="e">
        <f t="shared" si="3"/>
        <v>#N/A</v>
      </c>
      <c r="G38" s="222">
        <f t="shared" si="3"/>
        <v>0</v>
      </c>
      <c r="H38" s="218" t="e">
        <f t="shared" si="3"/>
        <v>#N/A</v>
      </c>
      <c r="J38" s="282" t="e">
        <f>SUM(J30:J37)</f>
        <v>#N/A</v>
      </c>
      <c r="K38" s="137"/>
      <c r="L38" s="137"/>
    </row>
    <row r="39" spans="1:12" ht="7.5" customHeight="1" thickTop="1" x14ac:dyDescent="0.25">
      <c r="C39" s="43"/>
      <c r="D39" s="43"/>
      <c r="E39" s="43"/>
      <c r="F39" s="156"/>
      <c r="G39" s="156"/>
      <c r="H39" s="156"/>
      <c r="J39" s="43"/>
      <c r="K39" s="137"/>
      <c r="L39" s="137"/>
    </row>
    <row r="40" spans="1:12" ht="33.75" customHeight="1" x14ac:dyDescent="0.25">
      <c r="A40" s="249" t="s">
        <v>60</v>
      </c>
      <c r="B40" s="40"/>
      <c r="C40" s="337" t="s">
        <v>61</v>
      </c>
      <c r="D40" s="338"/>
      <c r="E40" s="246" t="s">
        <v>62</v>
      </c>
      <c r="F40" s="246" t="s">
        <v>45</v>
      </c>
      <c r="G40" s="246" t="s">
        <v>46</v>
      </c>
      <c r="H40" s="246" t="s">
        <v>47</v>
      </c>
      <c r="J40" s="43"/>
      <c r="K40" s="137"/>
      <c r="L40" s="137"/>
    </row>
    <row r="41" spans="1:12" ht="45" x14ac:dyDescent="0.25">
      <c r="B41" s="1" t="s">
        <v>63</v>
      </c>
      <c r="C41" s="217">
        <f>IF($C$13=2,'RAP Guidelines'!F24, IF(AND($C$13=1, $C$8="Couple"),'RAP Guidelines'!D24, IF(AND($C$13=1,$C$8="Single or Single Parent"), 'RAP Guidelines'!B23, IF(AND($C$13=0,$C$7=1), 'RAP Guidelines'!B7,IF(AND($C$13=0,$C$7&gt;1,$C$8="Single or Single Parent"),'RAP Guidelines'!B8,'RAP Guidelines'!D8)))))</f>
        <v>494</v>
      </c>
      <c r="D41" s="217" t="str">
        <f>IF($C$12&gt;0,$C$12*'RAP Guidelines'!B7,"")</f>
        <v/>
      </c>
      <c r="E41" s="226">
        <f>SUM(C41:D41)</f>
        <v>494</v>
      </c>
      <c r="F41" s="226">
        <f>E41*12</f>
        <v>5928</v>
      </c>
      <c r="G41" s="220">
        <v>0</v>
      </c>
      <c r="H41" s="224">
        <f>IF(F41-G41&gt;=0,F41-G41,0)</f>
        <v>5928</v>
      </c>
      <c r="I41" s="157" t="str">
        <f>IF(G41&gt;(F41*'RAP Guidelines'!Y23),"Error: In-Kind Deduction Limit Exceeded","OK")</f>
        <v>OK</v>
      </c>
      <c r="J41" s="43">
        <f>F41*'RAP Guidelines'!Y23</f>
        <v>2964</v>
      </c>
      <c r="K41" s="137" t="s">
        <v>64</v>
      </c>
      <c r="L41" s="137"/>
    </row>
    <row r="42" spans="1:12" x14ac:dyDescent="0.25">
      <c r="B42" s="1" t="s">
        <v>65</v>
      </c>
      <c r="C42" s="217" t="e">
        <f>IF($C$13&gt;0,VLOOKUP(C7-C12, 'RAP Guidelines'!A23:L32,8),IF($C$13=0, VLOOKUP(C7-C12, 'RAP Guidelines'!A7:H16,6),"Error"))</f>
        <v>#N/A</v>
      </c>
      <c r="D42" s="217" t="str">
        <f>IF($C$12&gt;0,$C$12*'RAP Guidelines'!F7,"")</f>
        <v/>
      </c>
      <c r="E42" s="226" t="e">
        <f>SUM(C42:D42)</f>
        <v>#N/A</v>
      </c>
      <c r="F42" s="226" t="e">
        <f>E42*12</f>
        <v>#N/A</v>
      </c>
      <c r="G42" s="220">
        <v>0</v>
      </c>
      <c r="H42" s="224" t="e">
        <f t="shared" ref="H42:H45" si="4">IF(F42-G42&gt;=0,F42-G42,0)</f>
        <v>#N/A</v>
      </c>
      <c r="I42" s="157" t="e">
        <f>IF(G42&gt;(F42*'RAP Guidelines'!Y24),"Error: In-Kind Deduction Limit Exceeded","OK")</f>
        <v>#N/A</v>
      </c>
      <c r="J42" s="43" t="e">
        <f>F42*'RAP Guidelines'!Y24</f>
        <v>#N/A</v>
      </c>
      <c r="K42" s="137"/>
      <c r="L42" s="137"/>
    </row>
    <row r="43" spans="1:12" x14ac:dyDescent="0.25">
      <c r="B43" s="1" t="s">
        <v>66</v>
      </c>
      <c r="C43" s="217">
        <f>'RAP Guidelines'!$G$7</f>
        <v>79.069999999999993</v>
      </c>
      <c r="D43" s="217" t="str">
        <f>IF($C$12&gt;0,$C$12*'RAP Guidelines'!$G$7,"")</f>
        <v/>
      </c>
      <c r="E43" s="226">
        <f>SUM(C43:D43)</f>
        <v>79.069999999999993</v>
      </c>
      <c r="F43" s="226">
        <f>E43*12</f>
        <v>948.83999999999992</v>
      </c>
      <c r="G43" s="223">
        <v>0</v>
      </c>
      <c r="H43" s="224">
        <f>F43</f>
        <v>948.83999999999992</v>
      </c>
      <c r="I43" s="157" t="str">
        <f>IF(G43&gt;(F43*'RAP Guidelines'!Y25),"Error: In-Kind Deduction Limit Exceeded","OK")</f>
        <v>OK</v>
      </c>
      <c r="J43" s="43">
        <f>F43*'RAP Guidelines'!Y25</f>
        <v>0</v>
      </c>
      <c r="K43" s="137"/>
      <c r="L43" s="137"/>
    </row>
    <row r="44" spans="1:12" x14ac:dyDescent="0.25">
      <c r="B44" s="1" t="s">
        <v>67</v>
      </c>
      <c r="C44" s="217">
        <f>IF(C8="Couple",C15*2,C15)</f>
        <v>156</v>
      </c>
      <c r="D44" s="217">
        <f>IF(C12&gt;0,C12*C15,0)</f>
        <v>0</v>
      </c>
      <c r="E44" s="226">
        <f>SUM(C44:D44)</f>
        <v>156</v>
      </c>
      <c r="F44" s="226">
        <f>E44*12</f>
        <v>1872</v>
      </c>
      <c r="G44" s="220">
        <v>0</v>
      </c>
      <c r="H44" s="224">
        <f t="shared" si="4"/>
        <v>1872</v>
      </c>
      <c r="I44" s="157" t="str">
        <f>IF(G44&gt;(F44*'RAP Guidelines'!Y26),"Error: In-Kind Deduction Limit Exceeded","OK")</f>
        <v>OK</v>
      </c>
      <c r="J44" s="43">
        <f>F44*'RAP Guidelines'!Y26</f>
        <v>0</v>
      </c>
      <c r="K44" s="137"/>
      <c r="L44" s="137"/>
    </row>
    <row r="45" spans="1:12" x14ac:dyDescent="0.25">
      <c r="B45" s="1" t="s">
        <v>68</v>
      </c>
      <c r="C45" s="217" t="e">
        <f>IF(C16&lt;=C42,0, IF(AND(C16-C42&gt;0,C16-C42&lt; 'RAP Guidelines'!H7), C16-C42,'RAP Guidelines'!H7))</f>
        <v>#N/A</v>
      </c>
      <c r="D45" s="217">
        <f>IF(C12=0,0, IF(C16&gt;(E42+C45+C12*'RAP Guidelines'!H7),C12*'RAP Guidelines'!H7, IF(C16-E42-C45&gt;0,C16-E42-C45,0)))</f>
        <v>0</v>
      </c>
      <c r="E45" s="226" t="e">
        <f>SUM(C45:D45)</f>
        <v>#N/A</v>
      </c>
      <c r="F45" s="226" t="e">
        <f>E45*12</f>
        <v>#N/A</v>
      </c>
      <c r="G45" s="220">
        <v>0</v>
      </c>
      <c r="H45" s="224" t="e">
        <f t="shared" si="4"/>
        <v>#N/A</v>
      </c>
      <c r="I45" s="157" t="e">
        <f>IF(G45&gt;(F45*'RAP Guidelines'!Y27),"Error: In-Kind Deduction Limit Exceeded","OK")</f>
        <v>#N/A</v>
      </c>
      <c r="J45" s="43" t="e">
        <f>F45*'RAP Guidelines'!Y27</f>
        <v>#N/A</v>
      </c>
      <c r="K45" s="137"/>
      <c r="L45" s="137"/>
    </row>
    <row r="46" spans="1:12" ht="15.75" thickBot="1" x14ac:dyDescent="0.3">
      <c r="B46" s="36" t="s">
        <v>69</v>
      </c>
      <c r="C46" s="218" t="e">
        <f t="shared" ref="C46:H46" si="5">SUM(C41:C45)</f>
        <v>#N/A</v>
      </c>
      <c r="D46" s="218">
        <f t="shared" si="5"/>
        <v>0</v>
      </c>
      <c r="E46" s="218" t="e">
        <f t="shared" si="5"/>
        <v>#N/A</v>
      </c>
      <c r="F46" s="218" t="e">
        <f t="shared" si="5"/>
        <v>#N/A</v>
      </c>
      <c r="G46" s="222">
        <f t="shared" si="5"/>
        <v>0</v>
      </c>
      <c r="H46" s="225" t="e">
        <f t="shared" si="5"/>
        <v>#N/A</v>
      </c>
      <c r="J46" s="201" t="e">
        <f>SUM(J41:J45)</f>
        <v>#N/A</v>
      </c>
      <c r="K46" s="137"/>
      <c r="L46" s="137"/>
    </row>
    <row r="47" spans="1:12" ht="5.25" customHeight="1" thickTop="1" x14ac:dyDescent="0.25">
      <c r="A47" s="2"/>
    </row>
    <row r="48" spans="1:12" ht="33" customHeight="1" x14ac:dyDescent="0.25">
      <c r="A48" s="249" t="s">
        <v>25</v>
      </c>
      <c r="B48" s="40"/>
      <c r="C48" s="272"/>
      <c r="D48" s="273"/>
      <c r="E48" s="239"/>
      <c r="F48" s="246" t="s">
        <v>45</v>
      </c>
      <c r="G48" s="246" t="s">
        <v>46</v>
      </c>
      <c r="H48" s="246" t="s">
        <v>47</v>
      </c>
    </row>
    <row r="49" spans="1:15" x14ac:dyDescent="0.25">
      <c r="B49" s="1" t="s">
        <v>29</v>
      </c>
      <c r="C49" s="236" t="s">
        <v>33</v>
      </c>
      <c r="D49" s="236" t="s">
        <v>33</v>
      </c>
      <c r="E49" s="236" t="s">
        <v>33</v>
      </c>
      <c r="F49" s="233">
        <f>IF(C21="Yes",'RAP Guidelines'!$D39*$D21,0)</f>
        <v>0</v>
      </c>
      <c r="G49" s="229">
        <v>0</v>
      </c>
      <c r="H49" s="231">
        <f t="shared" ref="H49:H52" si="6">IF(F49-G49&gt;=0,F49-G49,0)</f>
        <v>0</v>
      </c>
      <c r="I49" s="157" t="s">
        <v>33</v>
      </c>
    </row>
    <row r="50" spans="1:15" x14ac:dyDescent="0.25">
      <c r="B50" s="1" t="s">
        <v>32</v>
      </c>
      <c r="C50" s="236" t="s">
        <v>33</v>
      </c>
      <c r="D50" s="236" t="s">
        <v>33</v>
      </c>
      <c r="E50" s="236" t="s">
        <v>33</v>
      </c>
      <c r="F50" s="233">
        <f>IF(C22="Yes",'RAP Guidelines'!D40,0)</f>
        <v>0</v>
      </c>
      <c r="G50" s="229">
        <v>0</v>
      </c>
      <c r="H50" s="231">
        <f t="shared" si="6"/>
        <v>0</v>
      </c>
      <c r="I50" s="157" t="s">
        <v>33</v>
      </c>
    </row>
    <row r="51" spans="1:15" x14ac:dyDescent="0.25">
      <c r="B51" s="1" t="s">
        <v>35</v>
      </c>
      <c r="C51" s="236" t="s">
        <v>33</v>
      </c>
      <c r="D51" s="236" t="s">
        <v>33</v>
      </c>
      <c r="E51" s="236" t="s">
        <v>33</v>
      </c>
      <c r="F51" s="233">
        <f>IF(C23="Yes",'RAP Guidelines'!D41,0)</f>
        <v>0</v>
      </c>
      <c r="G51" s="229">
        <v>0</v>
      </c>
      <c r="H51" s="231">
        <f t="shared" si="6"/>
        <v>0</v>
      </c>
      <c r="I51" s="157" t="s">
        <v>33</v>
      </c>
    </row>
    <row r="52" spans="1:15" x14ac:dyDescent="0.25">
      <c r="B52" s="1" t="s">
        <v>37</v>
      </c>
      <c r="C52" s="236" t="s">
        <v>33</v>
      </c>
      <c r="D52" s="236" t="s">
        <v>33</v>
      </c>
      <c r="E52" s="236" t="s">
        <v>33</v>
      </c>
      <c r="F52" s="233">
        <f>IF(C24="Yes",'RAP Guidelines'!$D42*$D24,0)</f>
        <v>0</v>
      </c>
      <c r="G52" s="229">
        <v>0</v>
      </c>
      <c r="H52" s="231">
        <f t="shared" si="6"/>
        <v>0</v>
      </c>
      <c r="I52" s="157" t="s">
        <v>33</v>
      </c>
    </row>
    <row r="53" spans="1:15" x14ac:dyDescent="0.25">
      <c r="B53" s="1" t="s">
        <v>70</v>
      </c>
      <c r="C53" s="236" t="s">
        <v>33</v>
      </c>
      <c r="D53" s="236" t="s">
        <v>33</v>
      </c>
      <c r="E53" s="236" t="s">
        <v>33</v>
      </c>
      <c r="F53" s="233">
        <v>0</v>
      </c>
      <c r="G53" s="229">
        <v>0</v>
      </c>
      <c r="H53" s="231">
        <v>0</v>
      </c>
      <c r="I53" s="157" t="s">
        <v>33</v>
      </c>
    </row>
    <row r="54" spans="1:15" x14ac:dyDescent="0.25">
      <c r="B54" s="14" t="s">
        <v>71</v>
      </c>
      <c r="C54" s="230" t="s">
        <v>33</v>
      </c>
      <c r="D54" s="230" t="s">
        <v>33</v>
      </c>
      <c r="E54" s="230" t="s">
        <v>33</v>
      </c>
      <c r="F54" s="234">
        <f t="shared" ref="F54:H54" si="7">SUM(F49:F53)</f>
        <v>0</v>
      </c>
      <c r="G54" s="230">
        <f t="shared" si="7"/>
        <v>0</v>
      </c>
      <c r="H54" s="230">
        <f t="shared" si="7"/>
        <v>0</v>
      </c>
    </row>
    <row r="55" spans="1:15" ht="15.75" thickBot="1" x14ac:dyDescent="0.3">
      <c r="A55" s="11" t="s">
        <v>72</v>
      </c>
      <c r="B55" s="11"/>
      <c r="C55" s="237"/>
      <c r="D55" s="237"/>
      <c r="E55" s="237"/>
      <c r="F55" s="235" t="e">
        <f>F38+F46+F54</f>
        <v>#N/A</v>
      </c>
      <c r="G55" s="235">
        <f>G38+G46+G54</f>
        <v>0</v>
      </c>
      <c r="H55" s="232" t="e">
        <f>H38+H46+H54</f>
        <v>#N/A</v>
      </c>
    </row>
    <row r="56" spans="1:15" ht="15.75" thickTop="1" x14ac:dyDescent="0.25">
      <c r="A56" s="2"/>
      <c r="B56" s="2" t="s">
        <v>73</v>
      </c>
      <c r="C56" s="238"/>
      <c r="D56" s="238"/>
      <c r="E56" s="238"/>
      <c r="F56" s="238"/>
      <c r="G56" s="238"/>
      <c r="H56" s="214">
        <f>C18</f>
        <v>0</v>
      </c>
    </row>
    <row r="57" spans="1:15" ht="15.75" thickBot="1" x14ac:dyDescent="0.3">
      <c r="A57" s="11" t="s">
        <v>74</v>
      </c>
      <c r="B57" s="11"/>
      <c r="C57" s="237"/>
      <c r="D57" s="237"/>
      <c r="E57" s="237"/>
      <c r="F57" s="237"/>
      <c r="G57" s="237"/>
      <c r="H57" s="18" t="e">
        <f>H55-H56</f>
        <v>#N/A</v>
      </c>
    </row>
    <row r="58" spans="1:15" ht="15.75" thickTop="1" x14ac:dyDescent="0.25"/>
    <row r="59" spans="1:15" ht="30" customHeight="1" x14ac:dyDescent="0.25">
      <c r="A59" s="333" t="s">
        <v>75</v>
      </c>
      <c r="B59" s="334"/>
      <c r="C59" s="337" t="s">
        <v>76</v>
      </c>
      <c r="D59" s="338"/>
      <c r="E59" s="338"/>
      <c r="F59" s="338"/>
      <c r="G59" s="338"/>
      <c r="H59" s="339"/>
      <c r="M59" s="51"/>
      <c r="N59" s="51"/>
      <c r="O59" s="51"/>
    </row>
    <row r="60" spans="1:15" ht="38.25" customHeight="1" x14ac:dyDescent="0.25">
      <c r="A60" s="335"/>
      <c r="B60" s="336"/>
      <c r="C60" s="246" t="s">
        <v>42</v>
      </c>
      <c r="D60" s="246" t="s">
        <v>77</v>
      </c>
      <c r="E60" s="246" t="s">
        <v>78</v>
      </c>
      <c r="F60" s="246" t="s">
        <v>79</v>
      </c>
      <c r="G60" s="246" t="s">
        <v>80</v>
      </c>
      <c r="H60" s="246" t="s">
        <v>44</v>
      </c>
      <c r="M60" s="51"/>
      <c r="N60" s="51"/>
      <c r="O60" s="51"/>
    </row>
    <row r="61" spans="1:15" x14ac:dyDescent="0.25">
      <c r="B61" s="1" t="s">
        <v>81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  <c r="H61" s="161">
        <f>SUM(C61:G61)</f>
        <v>0</v>
      </c>
      <c r="M61" s="51"/>
      <c r="N61" s="51"/>
      <c r="O61" s="51"/>
    </row>
    <row r="62" spans="1:15" x14ac:dyDescent="0.25">
      <c r="B62" s="1" t="s">
        <v>82</v>
      </c>
      <c r="C62" s="177">
        <f>IF(C7&gt;0,C46*0.5,0)</f>
        <v>0</v>
      </c>
      <c r="D62" s="177">
        <f>IF($C$12&gt;0,$D$46/$C$12*0.5,0)</f>
        <v>0</v>
      </c>
      <c r="E62" s="177">
        <f>IF($C$12&gt;1,$D$46/$C$12*0.5,0)</f>
        <v>0</v>
      </c>
      <c r="F62" s="177">
        <f>IF($C$12&gt;2,$D$46/$C$12*0.5,0)</f>
        <v>0</v>
      </c>
      <c r="G62" s="177">
        <f>IF($C$12&gt;3,$D$46/$C$12*0.5,0)</f>
        <v>0</v>
      </c>
      <c r="H62" s="178">
        <f>SUM(C62:G62)</f>
        <v>0</v>
      </c>
      <c r="M62" s="51"/>
      <c r="N62" s="51"/>
      <c r="O62" s="51"/>
    </row>
    <row r="63" spans="1:15" ht="15.75" thickBot="1" x14ac:dyDescent="0.3">
      <c r="A63" s="11"/>
      <c r="B63" s="11" t="s">
        <v>83</v>
      </c>
      <c r="C63" s="179" t="e">
        <f>IF(C$61&gt;(C$46*0.5),C$61-(C$46*0.5),0)</f>
        <v>#N/A</v>
      </c>
      <c r="D63" s="179">
        <f>IF(AND(D61&gt;0,D$61&gt;D$62),D$61-D$62,0)</f>
        <v>0</v>
      </c>
      <c r="E63" s="179">
        <f>IF(AND(E61&gt;0,E62&gt;0,E$61&gt;E$62),E$61-E$62,0)</f>
        <v>0</v>
      </c>
      <c r="F63" s="179">
        <f t="shared" ref="F63:H63" si="8">IF(AND(F61&gt;0,F62&gt;0,F$61&gt;F$62),F$61-F$62,0)</f>
        <v>0</v>
      </c>
      <c r="G63" s="179">
        <f t="shared" si="8"/>
        <v>0</v>
      </c>
      <c r="H63" s="179">
        <f t="shared" si="8"/>
        <v>0</v>
      </c>
      <c r="M63" s="51"/>
      <c r="N63" s="51"/>
      <c r="O63" s="51"/>
    </row>
    <row r="64" spans="1:15" ht="51" customHeight="1" thickTop="1" x14ac:dyDescent="0.25">
      <c r="D64" s="191" t="str">
        <f>IF(AND(C12&lt;1,D61&gt;0), "ERROR - Adjust Adult Dependent Figure in C11", "OK")</f>
        <v>OK</v>
      </c>
      <c r="E64" s="191" t="str">
        <f>IF(AND(C12&lt;2,E61&gt;0), "ERROR - Adjust Adult Dependent Figure in C11", "OK")</f>
        <v>OK</v>
      </c>
      <c r="F64" s="191" t="str">
        <f>IF(AND(C12&lt;3,F61&gt;0), "ERROR - Adjust Adult Dependent Figure in C11", "OK")</f>
        <v>OK</v>
      </c>
      <c r="G64" s="191" t="str">
        <f>IF(AND(C12&lt;4,G61&gt;0), "ERROR - Adjust Adult Dependent Figure in C11", "OK")</f>
        <v>OK</v>
      </c>
    </row>
  </sheetData>
  <mergeCells count="5">
    <mergeCell ref="M1:N1"/>
    <mergeCell ref="E29:F29"/>
    <mergeCell ref="C40:D40"/>
    <mergeCell ref="A59:B60"/>
    <mergeCell ref="C59:H59"/>
  </mergeCells>
  <dataValidations count="3">
    <dataValidation type="whole" allowBlank="1" showInputMessage="1" showErrorMessage="1" sqref="M7 C7:C13" xr:uid="{00000000-0002-0000-0400-000000000000}">
      <formula1>1</formula1>
      <formula2>15</formula2>
    </dataValidation>
    <dataValidation type="list" allowBlank="1" showInputMessage="1" showErrorMessage="1" sqref="M8" xr:uid="{00000000-0002-0000-0400-000001000000}">
      <formula1>"Single or Single Parent, Couple"</formula1>
    </dataValidation>
    <dataValidation type="list" allowBlank="1" showInputMessage="1" showErrorMessage="1" sqref="M21:N24 C21:C25" xr:uid="{00000000-0002-0000-0400-000002000000}">
      <formula1>"Yes, No"</formula1>
    </dataValidation>
  </dataValidations>
  <pageMargins left="0.7" right="0.7" top="0.75" bottom="0.75" header="0.3" footer="0.3"/>
  <pageSetup scale="3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R15" sqref="R15"/>
    </sheetView>
  </sheetViews>
  <sheetFormatPr defaultColWidth="9.140625" defaultRowHeight="15" outlineLevelCol="1" x14ac:dyDescent="0.25"/>
  <cols>
    <col min="1" max="1" width="2.85546875" style="1" customWidth="1"/>
    <col min="2" max="2" width="40.5703125" style="1" customWidth="1"/>
    <col min="3" max="3" width="12.42578125" style="1" customWidth="1"/>
    <col min="4" max="4" width="11.5703125" style="1" bestFit="1" customWidth="1"/>
    <col min="5" max="6" width="11.5703125" style="1" customWidth="1"/>
    <col min="7" max="7" width="12.7109375" style="1" customWidth="1"/>
    <col min="8" max="8" width="2" style="1" customWidth="1"/>
    <col min="9" max="9" width="13.5703125" style="1" customWidth="1" outlineLevel="1"/>
    <col min="10" max="10" width="1" style="1" customWidth="1" outlineLevel="1"/>
    <col min="11" max="11" width="13.5703125" style="1" customWidth="1" outlineLevel="1"/>
    <col min="12" max="12" width="11.5703125" style="1" bestFit="1" customWidth="1"/>
    <col min="13" max="16384" width="9.140625" style="1"/>
  </cols>
  <sheetData>
    <row r="1" spans="1:12" ht="30" customHeight="1" x14ac:dyDescent="0.25">
      <c r="A1" s="153" t="s">
        <v>91</v>
      </c>
      <c r="B1" s="32"/>
      <c r="C1" s="32"/>
      <c r="D1" s="32"/>
      <c r="E1" s="32"/>
      <c r="F1" s="32"/>
      <c r="G1" s="30"/>
      <c r="I1" s="310" t="s">
        <v>92</v>
      </c>
      <c r="K1" s="310" t="s">
        <v>93</v>
      </c>
    </row>
    <row r="2" spans="1:12" ht="7.5" customHeight="1" x14ac:dyDescent="0.25"/>
    <row r="3" spans="1:12" x14ac:dyDescent="0.25">
      <c r="A3" s="2" t="s">
        <v>94</v>
      </c>
      <c r="C3" s="354" t="str">
        <f>IF('User Input Sheet'!C5 = "", "",'User Input Sheet'!C5)</f>
        <v/>
      </c>
      <c r="D3" s="355"/>
      <c r="E3" s="355"/>
      <c r="F3" s="355"/>
      <c r="G3" s="356"/>
    </row>
    <row r="4" spans="1:12" x14ac:dyDescent="0.25">
      <c r="A4" s="2" t="s">
        <v>95</v>
      </c>
      <c r="C4" s="354" t="str">
        <f>IF('User Input Sheet'!C4 = "", "",'User Input Sheet'!C4)</f>
        <v/>
      </c>
      <c r="D4" s="355"/>
      <c r="E4" s="355"/>
      <c r="F4" s="355"/>
      <c r="G4" s="356"/>
    </row>
    <row r="5" spans="1:12" x14ac:dyDescent="0.25">
      <c r="A5" s="2" t="s">
        <v>8</v>
      </c>
      <c r="C5" s="354" t="str">
        <f>IF('User Input Sheet'!C6 = "", "",'User Input Sheet'!C6)</f>
        <v/>
      </c>
      <c r="D5" s="355"/>
      <c r="E5" s="355"/>
      <c r="F5" s="355"/>
      <c r="G5" s="356"/>
    </row>
    <row r="6" spans="1:12" x14ac:dyDescent="0.25">
      <c r="A6" s="2" t="s">
        <v>96</v>
      </c>
      <c r="C6" s="274"/>
      <c r="D6" s="275"/>
      <c r="E6" s="275"/>
      <c r="F6" s="275"/>
      <c r="G6" s="276">
        <f>IF('User Input Sheet'!C7 = "", "",'User Input Sheet'!C7)</f>
        <v>1</v>
      </c>
    </row>
    <row r="7" spans="1:12" x14ac:dyDescent="0.25">
      <c r="A7" s="2" t="s">
        <v>97</v>
      </c>
      <c r="C7" s="274"/>
      <c r="D7" s="275"/>
      <c r="E7" s="275"/>
      <c r="F7" s="275"/>
      <c r="G7" s="276">
        <f>G6-G8</f>
        <v>1</v>
      </c>
    </row>
    <row r="8" spans="1:12" x14ac:dyDescent="0.25">
      <c r="A8" s="2" t="s">
        <v>98</v>
      </c>
      <c r="C8" s="274"/>
      <c r="D8" s="275"/>
      <c r="E8" s="275"/>
      <c r="F8" s="275"/>
      <c r="G8" s="276">
        <f>IF('User Input Sheet'!C12 = "", "",'User Input Sheet'!C12)</f>
        <v>0</v>
      </c>
    </row>
    <row r="9" spans="1:12" ht="5.25" customHeight="1" x14ac:dyDescent="0.25"/>
    <row r="10" spans="1:12" ht="30" x14ac:dyDescent="0.25">
      <c r="A10" s="203"/>
      <c r="B10" s="40"/>
      <c r="C10" s="155" t="s">
        <v>99</v>
      </c>
      <c r="D10" s="33" t="s">
        <v>100</v>
      </c>
      <c r="E10" s="33" t="s">
        <v>101</v>
      </c>
      <c r="F10" s="155" t="s">
        <v>44</v>
      </c>
      <c r="G10" s="155" t="s">
        <v>102</v>
      </c>
      <c r="I10" s="33" t="s">
        <v>103</v>
      </c>
      <c r="K10" s="33" t="s">
        <v>103</v>
      </c>
    </row>
    <row r="11" spans="1:12" x14ac:dyDescent="0.25">
      <c r="A11" s="2" t="str">
        <f>'User Input Sheet'!A40</f>
        <v>Resettlement Assistance Program (RAP)</v>
      </c>
    </row>
    <row r="12" spans="1:12" x14ac:dyDescent="0.25">
      <c r="B12" s="1" t="str">
        <f>'User Input Sheet'!B41</f>
        <v>Basic Needs Allowance</v>
      </c>
      <c r="C12" s="209">
        <f>'User Input Sheet'!E41</f>
        <v>786</v>
      </c>
      <c r="D12" s="209">
        <f>'User Input Sheet'!F41</f>
        <v>9432</v>
      </c>
      <c r="E12" s="209">
        <f>'User Input Sheet'!G41</f>
        <v>0</v>
      </c>
      <c r="F12" s="209">
        <f>'User Input Sheet'!H41</f>
        <v>9432</v>
      </c>
      <c r="G12" s="311">
        <f>F12/4</f>
        <v>2358</v>
      </c>
      <c r="I12" s="209">
        <f>'Arrived Family'!H41/4</f>
        <v>2358</v>
      </c>
      <c r="J12" s="209"/>
      <c r="K12" s="209">
        <f>G12-I12</f>
        <v>0</v>
      </c>
      <c r="L12" s="207"/>
    </row>
    <row r="13" spans="1:12" x14ac:dyDescent="0.25">
      <c r="B13" s="1" t="str">
        <f>'User Input Sheet'!B42</f>
        <v>Shelter Allowance</v>
      </c>
      <c r="C13" s="209">
        <f>'User Input Sheet'!E42</f>
        <v>582</v>
      </c>
      <c r="D13" s="209">
        <f>'User Input Sheet'!F42</f>
        <v>6984</v>
      </c>
      <c r="E13" s="209">
        <f>'User Input Sheet'!G42</f>
        <v>0</v>
      </c>
      <c r="F13" s="209">
        <f>'User Input Sheet'!H42</f>
        <v>6984</v>
      </c>
      <c r="G13" s="311">
        <f t="shared" ref="G13:G16" si="0">F13/4</f>
        <v>1746</v>
      </c>
      <c r="I13" s="209">
        <f>'Arrived Family'!H42/4</f>
        <v>2358</v>
      </c>
      <c r="J13" s="209"/>
      <c r="K13" s="209">
        <f t="shared" ref="K13:K16" si="1">G13-I13</f>
        <v>-612</v>
      </c>
      <c r="L13" s="207"/>
    </row>
    <row r="14" spans="1:12" x14ac:dyDescent="0.25">
      <c r="B14" s="1" t="str">
        <f>'User Input Sheet'!B43</f>
        <v>Communication Allowance</v>
      </c>
      <c r="C14" s="209">
        <f>'User Input Sheet'!E43</f>
        <v>79.069999999999993</v>
      </c>
      <c r="D14" s="209">
        <f>'User Input Sheet'!F43</f>
        <v>948.83999999999992</v>
      </c>
      <c r="E14" s="210">
        <f>'User Input Sheet'!G43</f>
        <v>0</v>
      </c>
      <c r="F14" s="209">
        <f>'User Input Sheet'!H43</f>
        <v>948.83999999999992</v>
      </c>
      <c r="G14" s="311">
        <f t="shared" si="0"/>
        <v>237.20999999999998</v>
      </c>
      <c r="I14" s="209">
        <f>'Arrived Family'!H43/4</f>
        <v>237.20999999999998</v>
      </c>
      <c r="J14" s="209"/>
      <c r="K14" s="209">
        <f t="shared" si="1"/>
        <v>0</v>
      </c>
      <c r="L14" s="207"/>
    </row>
    <row r="15" spans="1:12" x14ac:dyDescent="0.25">
      <c r="B15" s="1" t="str">
        <f>'User Input Sheet'!B44</f>
        <v>Transportation Allowance</v>
      </c>
      <c r="C15" s="209">
        <f>'User Input Sheet'!E44</f>
        <v>156</v>
      </c>
      <c r="D15" s="209">
        <f>'User Input Sheet'!F44</f>
        <v>1872</v>
      </c>
      <c r="E15" s="209">
        <f>'User Input Sheet'!G44</f>
        <v>0</v>
      </c>
      <c r="F15" s="209">
        <f>'User Input Sheet'!H44</f>
        <v>1872</v>
      </c>
      <c r="G15" s="311">
        <f t="shared" si="0"/>
        <v>468</v>
      </c>
      <c r="I15" s="209">
        <f>'Arrived Family'!H44/4</f>
        <v>468</v>
      </c>
      <c r="J15" s="209"/>
      <c r="K15" s="209">
        <f t="shared" si="1"/>
        <v>0</v>
      </c>
      <c r="L15" s="207"/>
    </row>
    <row r="16" spans="1:12" x14ac:dyDescent="0.25">
      <c r="B16" s="1" t="str">
        <f>'User Input Sheet'!B45</f>
        <v>Housing Supplement</v>
      </c>
      <c r="C16" s="209">
        <f>'User Input Sheet'!E45</f>
        <v>500</v>
      </c>
      <c r="D16" s="209">
        <f>'User Input Sheet'!F45</f>
        <v>6000</v>
      </c>
      <c r="E16" s="209">
        <f>'User Input Sheet'!G45</f>
        <v>0</v>
      </c>
      <c r="F16" s="209">
        <f>'User Input Sheet'!H45</f>
        <v>6000</v>
      </c>
      <c r="G16" s="311">
        <f t="shared" si="0"/>
        <v>1500</v>
      </c>
      <c r="I16" s="209">
        <f>'Arrived Family'!H45/4</f>
        <v>1500</v>
      </c>
      <c r="J16" s="209"/>
      <c r="K16" s="209">
        <f t="shared" si="1"/>
        <v>0</v>
      </c>
      <c r="L16" s="207"/>
    </row>
    <row r="17" spans="1:12" ht="15.75" thickBot="1" x14ac:dyDescent="0.3">
      <c r="A17" s="11"/>
      <c r="B17" s="11" t="str">
        <f>'User Input Sheet'!B46</f>
        <v>Total RAP</v>
      </c>
      <c r="C17" s="211">
        <f>'User Input Sheet'!E46</f>
        <v>2103.0699999999997</v>
      </c>
      <c r="D17" s="211">
        <f>'User Input Sheet'!F46</f>
        <v>25236.84</v>
      </c>
      <c r="E17" s="211">
        <f>'User Input Sheet'!G46</f>
        <v>0</v>
      </c>
      <c r="F17" s="211">
        <f>'User Input Sheet'!H46</f>
        <v>25236.84</v>
      </c>
      <c r="G17" s="211">
        <f>SUM(G12:G16)</f>
        <v>6309.21</v>
      </c>
      <c r="I17" s="211">
        <f>SUM(I12:I16)</f>
        <v>6921.21</v>
      </c>
      <c r="K17" s="211">
        <f>SUM(K12:K16)</f>
        <v>-612</v>
      </c>
      <c r="L17" s="207"/>
    </row>
    <row r="18" spans="1:12" ht="6.75" customHeight="1" thickTop="1" x14ac:dyDescent="0.25">
      <c r="A18" s="2"/>
      <c r="B18" s="2"/>
      <c r="C18" s="205"/>
      <c r="D18" s="205"/>
      <c r="E18" s="205"/>
      <c r="F18" s="205"/>
    </row>
    <row r="19" spans="1:12" x14ac:dyDescent="0.25">
      <c r="A19" s="2" t="str">
        <f>'User Input Sheet'!A29</f>
        <v>Start-Up Costs</v>
      </c>
      <c r="I19" s="33" t="s">
        <v>104</v>
      </c>
      <c r="K19" s="33" t="s">
        <v>104</v>
      </c>
    </row>
    <row r="20" spans="1:12" x14ac:dyDescent="0.25">
      <c r="B20" s="1" t="str">
        <f>'User Input Sheet'!B30</f>
        <v>Staple Allowance</v>
      </c>
      <c r="C20" s="51" t="s">
        <v>33</v>
      </c>
      <c r="D20" s="209">
        <f>'User Input Sheet'!F30</f>
        <v>245.74</v>
      </c>
      <c r="E20" s="209">
        <f>'User Input Sheet'!G30</f>
        <v>0</v>
      </c>
      <c r="F20" s="209">
        <f>'User Input Sheet'!H30</f>
        <v>245.74</v>
      </c>
      <c r="I20" s="209">
        <f>'Arrived Family'!H30</f>
        <v>245.74</v>
      </c>
      <c r="K20" s="209">
        <f>F20-I20</f>
        <v>0</v>
      </c>
      <c r="L20" s="207"/>
    </row>
    <row r="21" spans="1:12" x14ac:dyDescent="0.25">
      <c r="B21" s="1" t="str">
        <f>'User Input Sheet'!B31</f>
        <v>Basic Clothing Allowance</v>
      </c>
      <c r="C21" s="51" t="s">
        <v>33</v>
      </c>
      <c r="D21" s="209">
        <f>'User Input Sheet'!F31</f>
        <v>384.17</v>
      </c>
      <c r="E21" s="209">
        <f>'User Input Sheet'!G31</f>
        <v>0</v>
      </c>
      <c r="F21" s="209">
        <f>'User Input Sheet'!H31</f>
        <v>384.17</v>
      </c>
      <c r="I21" s="209">
        <f>'Arrived Family'!H31</f>
        <v>384.17</v>
      </c>
      <c r="K21" s="209">
        <f t="shared" ref="K21:K27" si="2">F21-I21</f>
        <v>0</v>
      </c>
      <c r="L21" s="207"/>
    </row>
    <row r="22" spans="1:12" x14ac:dyDescent="0.25">
      <c r="B22" s="1" t="str">
        <f>'User Input Sheet'!B32</f>
        <v>Winter Clothing Allowance</v>
      </c>
      <c r="C22" s="51" t="s">
        <v>33</v>
      </c>
      <c r="D22" s="209">
        <f>'User Input Sheet'!F32</f>
        <v>179.28</v>
      </c>
      <c r="E22" s="209">
        <f>'User Input Sheet'!G32</f>
        <v>0</v>
      </c>
      <c r="F22" s="209">
        <f>'User Input Sheet'!H32</f>
        <v>179.28</v>
      </c>
      <c r="I22" s="209">
        <f>'Arrived Family'!H32</f>
        <v>179.28</v>
      </c>
      <c r="K22" s="209">
        <f t="shared" si="2"/>
        <v>0</v>
      </c>
      <c r="L22" s="207"/>
    </row>
    <row r="23" spans="1:12" x14ac:dyDescent="0.25">
      <c r="B23" s="1" t="str">
        <f>'User Input Sheet'!B33</f>
        <v>Basic Household Needs</v>
      </c>
      <c r="C23" s="51" t="s">
        <v>33</v>
      </c>
      <c r="D23" s="209">
        <f>'User Input Sheet'!F33</f>
        <v>632.57000000000005</v>
      </c>
      <c r="E23" s="209">
        <f>'User Input Sheet'!G33</f>
        <v>0</v>
      </c>
      <c r="F23" s="209">
        <f>'User Input Sheet'!H33</f>
        <v>632.57000000000005</v>
      </c>
      <c r="I23" s="209">
        <f>'Arrived Family'!H33</f>
        <v>632.57000000000005</v>
      </c>
      <c r="K23" s="209">
        <f t="shared" si="2"/>
        <v>0</v>
      </c>
      <c r="L23" s="207"/>
    </row>
    <row r="24" spans="1:12" x14ac:dyDescent="0.25">
      <c r="B24" s="1" t="str">
        <f>'User Input Sheet'!B34</f>
        <v>Furniture Allowance</v>
      </c>
      <c r="C24" s="51" t="s">
        <v>33</v>
      </c>
      <c r="D24" s="209">
        <f>'User Input Sheet'!F34</f>
        <v>1634.15</v>
      </c>
      <c r="E24" s="209">
        <f>'User Input Sheet'!G34</f>
        <v>0</v>
      </c>
      <c r="F24" s="209">
        <f>'User Input Sheet'!H34</f>
        <v>1634.15</v>
      </c>
      <c r="I24" s="209">
        <f>'Arrived Family'!H34</f>
        <v>1634.15</v>
      </c>
      <c r="K24" s="209">
        <f t="shared" si="2"/>
        <v>0</v>
      </c>
      <c r="L24" s="207"/>
    </row>
    <row r="25" spans="1:12" x14ac:dyDescent="0.25">
      <c r="B25" s="1" t="str">
        <f>'User Input Sheet'!B35</f>
        <v>Linens</v>
      </c>
      <c r="C25" s="51" t="s">
        <v>33</v>
      </c>
      <c r="D25" s="209">
        <f>'User Input Sheet'!F35</f>
        <v>84.34</v>
      </c>
      <c r="E25" s="209">
        <f>'User Input Sheet'!G35</f>
        <v>0</v>
      </c>
      <c r="F25" s="209">
        <f>'User Input Sheet'!H35</f>
        <v>84.34</v>
      </c>
      <c r="I25" s="209">
        <f>'Arrived Family'!H35</f>
        <v>84.34</v>
      </c>
      <c r="K25" s="209">
        <f t="shared" si="2"/>
        <v>0</v>
      </c>
      <c r="L25" s="207"/>
    </row>
    <row r="26" spans="1:12" x14ac:dyDescent="0.25">
      <c r="B26" s="1" t="str">
        <f>'User Input Sheet'!B36</f>
        <v>Utility Installation</v>
      </c>
      <c r="C26" s="51" t="s">
        <v>33</v>
      </c>
      <c r="D26" s="209">
        <f>'User Input Sheet'!F36</f>
        <v>84.56</v>
      </c>
      <c r="E26" s="209">
        <f>'User Input Sheet'!G36</f>
        <v>0</v>
      </c>
      <c r="F26" s="209">
        <f>'User Input Sheet'!H36</f>
        <v>84.56</v>
      </c>
      <c r="I26" s="209">
        <f>'Arrived Family'!H36</f>
        <v>84.56</v>
      </c>
      <c r="K26" s="209">
        <f t="shared" si="2"/>
        <v>0</v>
      </c>
      <c r="L26" s="207"/>
    </row>
    <row r="27" spans="1:12" x14ac:dyDescent="0.25">
      <c r="B27" s="1" t="str">
        <f>'User Input Sheet'!B37</f>
        <v>School Start-Up Allowance</v>
      </c>
      <c r="C27" s="51" t="s">
        <v>33</v>
      </c>
      <c r="D27" s="209">
        <f>'User Input Sheet'!F37</f>
        <v>0</v>
      </c>
      <c r="E27" s="209">
        <f>'User Input Sheet'!G37</f>
        <v>0</v>
      </c>
      <c r="F27" s="209">
        <f>'User Input Sheet'!H37</f>
        <v>0</v>
      </c>
      <c r="I27" s="209">
        <f>'Arrived Family'!H37</f>
        <v>0</v>
      </c>
      <c r="K27" s="209">
        <f t="shared" si="2"/>
        <v>0</v>
      </c>
      <c r="L27" s="207"/>
    </row>
    <row r="28" spans="1:12" ht="15.75" thickBot="1" x14ac:dyDescent="0.3">
      <c r="A28" s="11"/>
      <c r="B28" s="11" t="str">
        <f>'User Input Sheet'!B38</f>
        <v>Total Start-Up</v>
      </c>
      <c r="C28" s="202" t="s">
        <v>33</v>
      </c>
      <c r="D28" s="211">
        <f>'User Input Sheet'!F38</f>
        <v>3244.8100000000004</v>
      </c>
      <c r="E28" s="211">
        <f>'User Input Sheet'!G38</f>
        <v>0</v>
      </c>
      <c r="F28" s="211">
        <f>'User Input Sheet'!H38</f>
        <v>3244.8100000000004</v>
      </c>
      <c r="I28" s="211">
        <f>SUM(I20:I27)</f>
        <v>3244.8100000000004</v>
      </c>
      <c r="K28" s="211">
        <f>SUM(K20:K27)</f>
        <v>0</v>
      </c>
      <c r="L28" s="207"/>
    </row>
    <row r="29" spans="1:12" ht="5.25" customHeight="1" thickTop="1" x14ac:dyDescent="0.25">
      <c r="D29" s="43"/>
      <c r="E29" s="43"/>
      <c r="F29" s="43"/>
    </row>
    <row r="30" spans="1:12" x14ac:dyDescent="0.25">
      <c r="A30" s="2" t="str">
        <f>'User Input Sheet'!A48</f>
        <v>Special Allowances</v>
      </c>
    </row>
    <row r="31" spans="1:12" x14ac:dyDescent="0.25">
      <c r="B31" s="1" t="str">
        <f>'User Input Sheet'!B49</f>
        <v>Maternity Food</v>
      </c>
      <c r="C31" s="43"/>
      <c r="D31" s="209">
        <f>'User Input Sheet'!F49</f>
        <v>0</v>
      </c>
      <c r="E31" s="209">
        <f>'User Input Sheet'!G49</f>
        <v>0</v>
      </c>
      <c r="F31" s="209">
        <f>'User Input Sheet'!H49</f>
        <v>0</v>
      </c>
    </row>
    <row r="32" spans="1:12" x14ac:dyDescent="0.25">
      <c r="B32" s="1" t="str">
        <f>'User Input Sheet'!B50</f>
        <v>Maternity Clothing</v>
      </c>
      <c r="C32" s="43"/>
      <c r="D32" s="209">
        <f>'User Input Sheet'!F50</f>
        <v>0</v>
      </c>
      <c r="E32" s="209">
        <f>'User Input Sheet'!G50</f>
        <v>0</v>
      </c>
      <c r="F32" s="209">
        <f>'User Input Sheet'!H50</f>
        <v>0</v>
      </c>
    </row>
    <row r="33" spans="1:11" x14ac:dyDescent="0.25">
      <c r="B33" s="1" t="str">
        <f>'User Input Sheet'!B51</f>
        <v>Newborn Allowance</v>
      </c>
      <c r="C33" s="43"/>
      <c r="D33" s="209">
        <f>'User Input Sheet'!F51</f>
        <v>0</v>
      </c>
      <c r="E33" s="209">
        <f>'User Input Sheet'!G51</f>
        <v>0</v>
      </c>
      <c r="F33" s="209">
        <f>'User Input Sheet'!H51</f>
        <v>0</v>
      </c>
    </row>
    <row r="34" spans="1:11" x14ac:dyDescent="0.25">
      <c r="B34" s="1" t="str">
        <f>'User Input Sheet'!B52</f>
        <v>Dietary Allowance</v>
      </c>
      <c r="C34" s="43"/>
      <c r="D34" s="209">
        <f>'User Input Sheet'!F52</f>
        <v>0</v>
      </c>
      <c r="E34" s="209">
        <f>'User Input Sheet'!G52</f>
        <v>0</v>
      </c>
      <c r="F34" s="209">
        <f>'User Input Sheet'!H52</f>
        <v>0</v>
      </c>
    </row>
    <row r="35" spans="1:11" x14ac:dyDescent="0.25">
      <c r="B35" s="1" t="str">
        <f>'User Input Sheet'!B53</f>
        <v>School Start-up Allowance (Included in Start-Up)</v>
      </c>
      <c r="C35" s="43"/>
      <c r="D35" s="209">
        <f>'User Input Sheet'!F53</f>
        <v>0</v>
      </c>
      <c r="E35" s="210" t="s">
        <v>33</v>
      </c>
      <c r="F35" s="209">
        <f>'User Input Sheet'!H53</f>
        <v>0</v>
      </c>
    </row>
    <row r="36" spans="1:11" x14ac:dyDescent="0.25">
      <c r="A36" s="14"/>
      <c r="B36" s="14" t="str">
        <f>'User Input Sheet'!B54</f>
        <v>Total Special Allowances</v>
      </c>
      <c r="C36" s="204"/>
      <c r="D36" s="212">
        <f>'User Input Sheet'!F54</f>
        <v>0</v>
      </c>
      <c r="E36" s="212">
        <f>'User Input Sheet'!G54</f>
        <v>0</v>
      </c>
      <c r="F36" s="212">
        <f>'User Input Sheet'!H54</f>
        <v>0</v>
      </c>
    </row>
    <row r="37" spans="1:11" x14ac:dyDescent="0.25">
      <c r="A37" s="206" t="s">
        <v>105</v>
      </c>
      <c r="B37" s="206"/>
      <c r="C37" s="206"/>
      <c r="D37" s="208">
        <f>D17+D28</f>
        <v>28481.65</v>
      </c>
      <c r="E37" s="208">
        <f>E17+E28</f>
        <v>0</v>
      </c>
      <c r="F37" s="208">
        <f>F28+F17+F36</f>
        <v>28481.65</v>
      </c>
    </row>
    <row r="38" spans="1:11" x14ac:dyDescent="0.25">
      <c r="B38" s="1" t="s">
        <v>106</v>
      </c>
      <c r="C38" s="43"/>
      <c r="D38" s="209"/>
      <c r="E38" s="209"/>
      <c r="F38" s="209">
        <f>'User Input Sheet'!C18</f>
        <v>0</v>
      </c>
    </row>
    <row r="39" spans="1:11" x14ac:dyDescent="0.25">
      <c r="A39" s="206" t="s">
        <v>107</v>
      </c>
      <c r="B39" s="206"/>
      <c r="C39" s="206"/>
      <c r="D39" s="208"/>
      <c r="E39" s="208"/>
      <c r="F39" s="208">
        <f>F37-F38</f>
        <v>28481.65</v>
      </c>
    </row>
    <row r="41" spans="1:11" x14ac:dyDescent="0.25">
      <c r="A41" s="2" t="s">
        <v>108</v>
      </c>
      <c r="B41" s="2"/>
      <c r="C41" s="2"/>
      <c r="D41" s="2"/>
      <c r="E41" s="2"/>
      <c r="F41" s="2"/>
    </row>
    <row r="42" spans="1:11" x14ac:dyDescent="0.25">
      <c r="B42" s="1" t="s">
        <v>109</v>
      </c>
      <c r="F42" s="207">
        <f>(F17/4+F28)-F38/4</f>
        <v>9554.02</v>
      </c>
      <c r="I42" s="311">
        <f>I17+I28</f>
        <v>10166.02</v>
      </c>
      <c r="K42" s="311">
        <f>K17+K28</f>
        <v>-612</v>
      </c>
    </row>
    <row r="43" spans="1:11" x14ac:dyDescent="0.25">
      <c r="B43" s="1" t="s">
        <v>110</v>
      </c>
      <c r="F43" s="207">
        <f>(F17/4)-F38/4</f>
        <v>6309.21</v>
      </c>
      <c r="I43" s="207">
        <f>I$17</f>
        <v>6921.21</v>
      </c>
      <c r="K43" s="207">
        <f>K$17</f>
        <v>-612</v>
      </c>
    </row>
    <row r="44" spans="1:11" x14ac:dyDescent="0.25">
      <c r="B44" s="1" t="s">
        <v>111</v>
      </c>
      <c r="F44" s="207">
        <f>(F17/4)-F38/4</f>
        <v>6309.21</v>
      </c>
      <c r="I44" s="207">
        <f t="shared" ref="I44:K45" si="3">I$17</f>
        <v>6921.21</v>
      </c>
      <c r="K44" s="207">
        <f t="shared" si="3"/>
        <v>-612</v>
      </c>
    </row>
    <row r="45" spans="1:11" x14ac:dyDescent="0.25">
      <c r="B45" s="1" t="s">
        <v>112</v>
      </c>
      <c r="F45" s="207">
        <f>(F17/4)-F38/4</f>
        <v>6309.21</v>
      </c>
      <c r="I45" s="207">
        <f t="shared" si="3"/>
        <v>6921.21</v>
      </c>
      <c r="K45" s="207">
        <f t="shared" si="3"/>
        <v>-612</v>
      </c>
    </row>
    <row r="46" spans="1:11" x14ac:dyDescent="0.25">
      <c r="B46" s="1" t="s">
        <v>25</v>
      </c>
      <c r="F46" s="207">
        <f>F36</f>
        <v>0</v>
      </c>
    </row>
    <row r="47" spans="1:11" x14ac:dyDescent="0.25">
      <c r="A47" s="206" t="s">
        <v>107</v>
      </c>
      <c r="B47" s="206"/>
      <c r="C47" s="206"/>
      <c r="D47" s="206"/>
      <c r="E47" s="206"/>
      <c r="F47" s="208">
        <f>SUM(F42:F46)</f>
        <v>28481.649999999998</v>
      </c>
      <c r="I47" s="208">
        <f>SUM(I42:I46)</f>
        <v>30929.649999999998</v>
      </c>
      <c r="K47" s="208">
        <f>SUM(K42:K46)</f>
        <v>-2448</v>
      </c>
    </row>
    <row r="48" spans="1:11" ht="5.25" customHeight="1" x14ac:dyDescent="0.25"/>
    <row r="49" spans="1:6" x14ac:dyDescent="0.25">
      <c r="A49" s="352" t="s">
        <v>113</v>
      </c>
      <c r="B49" s="352"/>
      <c r="C49" s="352"/>
      <c r="D49" s="352"/>
      <c r="E49" s="352"/>
      <c r="F49" s="353">
        <f>C17/2</f>
        <v>1051.5349999999999</v>
      </c>
    </row>
    <row r="50" spans="1:6" x14ac:dyDescent="0.25">
      <c r="A50" s="352"/>
      <c r="B50" s="352"/>
      <c r="C50" s="352"/>
      <c r="D50" s="352"/>
      <c r="E50" s="352"/>
      <c r="F50" s="353"/>
    </row>
  </sheetData>
  <sheetProtection algorithmName="SHA-512" hashValue="XJRE/iN58+M3gigScvEexXyyA5d8Jze5s7t1Xx8qHjeClV/t8qImFwsvsLta6Etnc/t+a+fASbvskDK5psgDpg==" saltValue="Ga1/7CgNZ0F8aaFdLcbwGg==" spinCount="100000" sheet="1" objects="1" scenarios="1"/>
  <mergeCells count="5">
    <mergeCell ref="A49:E50"/>
    <mergeCell ref="F49:F50"/>
    <mergeCell ref="C5:G5"/>
    <mergeCell ref="C3:G3"/>
    <mergeCell ref="C4:G4"/>
  </mergeCells>
  <pageMargins left="0.70866141732283472" right="0.70866141732283472" top="0.55118110236220474" bottom="0.55118110236220474" header="0.31496062992125984" footer="0.31496062992125984"/>
  <pageSetup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defaultColWidth="11.42578125" defaultRowHeight="15" x14ac:dyDescent="0.25"/>
  <cols>
    <col min="1" max="2" width="11.42578125" style="1"/>
    <col min="3" max="3" width="18.42578125" style="1" customWidth="1"/>
    <col min="4" max="4" width="11.42578125" style="1"/>
    <col min="5" max="5" width="18" style="1" customWidth="1"/>
    <col min="6" max="6" width="15.7109375" style="1" customWidth="1"/>
    <col min="7" max="7" width="15.28515625" style="1" customWidth="1"/>
    <col min="8" max="8" width="14.7109375" style="1" customWidth="1"/>
    <col min="9" max="9" width="15.85546875" style="1" customWidth="1"/>
    <col min="10" max="10" width="14.140625" style="1" customWidth="1"/>
    <col min="11" max="11" width="17.5703125" style="1" customWidth="1"/>
    <col min="12" max="12" width="14" style="1" customWidth="1"/>
    <col min="13" max="13" width="14.85546875" style="1" customWidth="1"/>
    <col min="14" max="14" width="28.85546875" style="1" bestFit="1" customWidth="1"/>
    <col min="15" max="22" width="16.28515625" style="1" customWidth="1"/>
    <col min="23" max="23" width="18" style="1" customWidth="1"/>
    <col min="24" max="24" width="13" style="1" customWidth="1"/>
    <col min="25" max="16384" width="11.42578125" style="1"/>
  </cols>
  <sheetData>
    <row r="1" spans="1:26" ht="30" customHeight="1" x14ac:dyDescent="0.25">
      <c r="A1" s="67" t="s">
        <v>311</v>
      </c>
      <c r="B1" s="149"/>
      <c r="C1" s="149"/>
      <c r="D1" s="149"/>
      <c r="E1" s="149"/>
      <c r="F1" s="149"/>
      <c r="G1" s="149"/>
      <c r="H1" s="149"/>
      <c r="I1" s="149"/>
      <c r="J1" s="42"/>
      <c r="L1" s="357" t="s">
        <v>114</v>
      </c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9"/>
    </row>
    <row r="2" spans="1:26" ht="14.25" customHeight="1" x14ac:dyDescent="0.25">
      <c r="L2" s="360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2"/>
    </row>
    <row r="3" spans="1:26" ht="29.25" customHeight="1" x14ac:dyDescent="0.25">
      <c r="A3" s="153" t="s">
        <v>115</v>
      </c>
      <c r="B3" s="149"/>
      <c r="C3" s="149"/>
      <c r="D3" s="149"/>
      <c r="E3" s="149"/>
      <c r="F3" s="149"/>
      <c r="G3" s="149"/>
      <c r="H3" s="149"/>
      <c r="I3" s="149"/>
      <c r="J3" s="42"/>
      <c r="L3" s="363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5"/>
    </row>
    <row r="4" spans="1:26" ht="8.25" customHeight="1" x14ac:dyDescent="0.25"/>
    <row r="5" spans="1:26" x14ac:dyDescent="0.25">
      <c r="B5" s="384" t="s">
        <v>116</v>
      </c>
      <c r="C5" s="385"/>
      <c r="D5" s="384" t="s">
        <v>11</v>
      </c>
      <c r="E5" s="385"/>
      <c r="Q5" s="375" t="s">
        <v>117</v>
      </c>
      <c r="R5" s="376"/>
      <c r="S5" s="376"/>
      <c r="T5" s="377"/>
      <c r="U5" s="375" t="s">
        <v>11</v>
      </c>
      <c r="V5" s="376"/>
      <c r="W5" s="376"/>
      <c r="X5" s="377"/>
    </row>
    <row r="6" spans="1:26" ht="48.75" customHeight="1" x14ac:dyDescent="0.25">
      <c r="A6" s="148" t="s">
        <v>85</v>
      </c>
      <c r="B6" s="148" t="s">
        <v>63</v>
      </c>
      <c r="C6" s="148" t="s">
        <v>67</v>
      </c>
      <c r="D6" s="148" t="s">
        <v>63</v>
      </c>
      <c r="E6" s="148" t="s">
        <v>67</v>
      </c>
      <c r="F6" s="148" t="s">
        <v>65</v>
      </c>
      <c r="G6" s="148" t="s">
        <v>66</v>
      </c>
      <c r="H6" s="148" t="s">
        <v>68</v>
      </c>
      <c r="L6" s="148" t="s">
        <v>85</v>
      </c>
      <c r="M6" s="148" t="s">
        <v>51</v>
      </c>
      <c r="N6" s="148"/>
      <c r="O6" s="148" t="s">
        <v>56</v>
      </c>
      <c r="P6" s="148" t="s">
        <v>57</v>
      </c>
      <c r="Q6" s="148" t="s">
        <v>52</v>
      </c>
      <c r="R6" s="148" t="s">
        <v>53</v>
      </c>
      <c r="S6" s="148" t="s">
        <v>55</v>
      </c>
      <c r="T6" s="148" t="s">
        <v>44</v>
      </c>
      <c r="U6" s="148" t="s">
        <v>52</v>
      </c>
      <c r="V6" s="148" t="s">
        <v>53</v>
      </c>
      <c r="W6" s="148" t="s">
        <v>55</v>
      </c>
      <c r="X6" s="148" t="s">
        <v>44</v>
      </c>
      <c r="Z6" s="1" t="s">
        <v>314</v>
      </c>
    </row>
    <row r="7" spans="1:26" x14ac:dyDescent="0.25">
      <c r="A7" s="27">
        <v>1</v>
      </c>
      <c r="B7" s="118">
        <v>343</v>
      </c>
      <c r="C7" s="118">
        <v>156</v>
      </c>
      <c r="D7" s="319"/>
      <c r="E7" s="319"/>
      <c r="F7" s="118">
        <v>390</v>
      </c>
      <c r="G7" s="317">
        <v>79.069999999999993</v>
      </c>
      <c r="H7" s="118">
        <v>500</v>
      </c>
      <c r="L7" s="27">
        <v>1</v>
      </c>
      <c r="M7" s="317">
        <v>245.74</v>
      </c>
      <c r="N7" s="317">
        <v>632.57000000000005</v>
      </c>
      <c r="O7" s="317">
        <v>84.34</v>
      </c>
      <c r="P7" s="317">
        <v>84.56</v>
      </c>
      <c r="Q7" s="317">
        <v>384.17</v>
      </c>
      <c r="R7" s="317">
        <v>179.28</v>
      </c>
      <c r="S7" s="317">
        <v>1634.15</v>
      </c>
      <c r="T7" s="315">
        <f>SUM(M7:S7)</f>
        <v>3244.8100000000004</v>
      </c>
      <c r="U7" s="318"/>
      <c r="V7" s="318"/>
      <c r="W7" s="318"/>
      <c r="X7" s="318"/>
      <c r="Z7" s="320" t="s">
        <v>312</v>
      </c>
    </row>
    <row r="8" spans="1:26" x14ac:dyDescent="0.25">
      <c r="A8" s="27">
        <v>2</v>
      </c>
      <c r="B8" s="118">
        <v>360</v>
      </c>
      <c r="C8" s="66">
        <f>C$7</f>
        <v>156</v>
      </c>
      <c r="D8" s="118">
        <v>494</v>
      </c>
      <c r="E8" s="66">
        <f>C8*2</f>
        <v>312</v>
      </c>
      <c r="F8" s="118">
        <v>642</v>
      </c>
      <c r="G8" s="315">
        <f>$G$7</f>
        <v>79.069999999999993</v>
      </c>
      <c r="H8" s="66">
        <f>$H$7</f>
        <v>500</v>
      </c>
      <c r="L8" s="27">
        <v>2</v>
      </c>
      <c r="M8" s="317">
        <v>351.05</v>
      </c>
      <c r="N8" s="317">
        <v>685.29</v>
      </c>
      <c r="O8" s="317">
        <v>168.68</v>
      </c>
      <c r="P8" s="315">
        <f>P$7</f>
        <v>84.56</v>
      </c>
      <c r="Q8" s="317">
        <v>640.28</v>
      </c>
      <c r="R8" s="317">
        <v>307.33999999999997</v>
      </c>
      <c r="S8" s="317">
        <v>2076.9499999999998</v>
      </c>
      <c r="T8" s="315">
        <f t="shared" ref="T8:T17" si="0">SUM(M8:S8)</f>
        <v>4314.1499999999996</v>
      </c>
      <c r="U8" s="317">
        <v>768.34</v>
      </c>
      <c r="V8" s="317">
        <v>358.56</v>
      </c>
      <c r="W8" s="317">
        <v>2403.77</v>
      </c>
      <c r="X8" s="315">
        <f>SUM(M8:P8)+SUM(U8:W8)</f>
        <v>4820.25</v>
      </c>
      <c r="Z8" s="321" t="s">
        <v>313</v>
      </c>
    </row>
    <row r="9" spans="1:26" x14ac:dyDescent="0.25">
      <c r="A9" s="27">
        <v>3</v>
      </c>
      <c r="B9" s="66">
        <f>B$8</f>
        <v>360</v>
      </c>
      <c r="C9" s="66">
        <f t="shared" ref="C9:C16" si="1">C$7</f>
        <v>156</v>
      </c>
      <c r="D9" s="66">
        <f>D$8</f>
        <v>494</v>
      </c>
      <c r="E9" s="66">
        <f t="shared" ref="E9:E16" si="2">C9*2</f>
        <v>312</v>
      </c>
      <c r="F9" s="118">
        <v>697</v>
      </c>
      <c r="G9" s="315">
        <f t="shared" ref="G9:G16" si="3">$G$7</f>
        <v>79.069999999999993</v>
      </c>
      <c r="H9" s="66">
        <f t="shared" ref="H9:H16" si="4">$H$7</f>
        <v>500</v>
      </c>
      <c r="L9" s="27">
        <v>3</v>
      </c>
      <c r="M9" s="317">
        <v>456.36</v>
      </c>
      <c r="N9" s="317">
        <v>738.01</v>
      </c>
      <c r="O9" s="317">
        <v>253.02</v>
      </c>
      <c r="P9" s="315">
        <f t="shared" ref="P9:P12" si="5">P$7</f>
        <v>84.56</v>
      </c>
      <c r="Q9" s="317">
        <v>896.39</v>
      </c>
      <c r="R9" s="317">
        <v>435.4</v>
      </c>
      <c r="S9" s="317">
        <v>2519.75</v>
      </c>
      <c r="T9" s="315">
        <f t="shared" si="0"/>
        <v>5383.49</v>
      </c>
      <c r="U9" s="317">
        <v>1024.45</v>
      </c>
      <c r="V9" s="317">
        <v>486.62</v>
      </c>
      <c r="W9" s="317">
        <v>2846.57</v>
      </c>
      <c r="X9" s="315">
        <f t="shared" ref="X9:X17" si="6">SUM(M9:P9)+SUM(U9:W9)</f>
        <v>5889.59</v>
      </c>
      <c r="Z9" s="322" t="s">
        <v>33</v>
      </c>
    </row>
    <row r="10" spans="1:26" x14ac:dyDescent="0.25">
      <c r="A10" s="27">
        <v>4</v>
      </c>
      <c r="B10" s="66">
        <f t="shared" ref="B10:B16" si="7">B$8</f>
        <v>360</v>
      </c>
      <c r="C10" s="66">
        <f t="shared" si="1"/>
        <v>156</v>
      </c>
      <c r="D10" s="66">
        <f t="shared" ref="D10:D16" si="8">D$8</f>
        <v>494</v>
      </c>
      <c r="E10" s="66">
        <f t="shared" si="2"/>
        <v>312</v>
      </c>
      <c r="F10" s="118">
        <v>756</v>
      </c>
      <c r="G10" s="315">
        <f t="shared" si="3"/>
        <v>79.069999999999993</v>
      </c>
      <c r="H10" s="66">
        <f t="shared" si="4"/>
        <v>500</v>
      </c>
      <c r="L10" s="27">
        <v>4</v>
      </c>
      <c r="M10" s="317">
        <v>561.66999999999996</v>
      </c>
      <c r="N10" s="317">
        <v>790.73</v>
      </c>
      <c r="O10" s="317">
        <v>337.36</v>
      </c>
      <c r="P10" s="315">
        <f t="shared" si="5"/>
        <v>84.56</v>
      </c>
      <c r="Q10" s="315">
        <f t="shared" ref="Q10:S10" si="9">Q9+Q$17</f>
        <v>1152.5</v>
      </c>
      <c r="R10" s="315">
        <f t="shared" si="9"/>
        <v>563.46</v>
      </c>
      <c r="S10" s="315">
        <f t="shared" si="9"/>
        <v>2962.55</v>
      </c>
      <c r="T10" s="315">
        <f t="shared" si="0"/>
        <v>6452.83</v>
      </c>
      <c r="U10" s="317">
        <v>1280.56</v>
      </c>
      <c r="V10" s="317">
        <v>614.67999999999995</v>
      </c>
      <c r="W10" s="317">
        <v>3289.37</v>
      </c>
      <c r="X10" s="315">
        <f t="shared" si="6"/>
        <v>6958.93</v>
      </c>
    </row>
    <row r="11" spans="1:26" x14ac:dyDescent="0.25">
      <c r="A11" s="27">
        <v>5</v>
      </c>
      <c r="B11" s="66">
        <f t="shared" si="7"/>
        <v>360</v>
      </c>
      <c r="C11" s="66">
        <f t="shared" si="1"/>
        <v>156</v>
      </c>
      <c r="D11" s="66">
        <f t="shared" si="8"/>
        <v>494</v>
      </c>
      <c r="E11" s="66">
        <f t="shared" si="2"/>
        <v>312</v>
      </c>
      <c r="F11" s="118">
        <v>815</v>
      </c>
      <c r="G11" s="315">
        <f t="shared" si="3"/>
        <v>79.069999999999993</v>
      </c>
      <c r="H11" s="66">
        <f t="shared" si="4"/>
        <v>500</v>
      </c>
      <c r="L11" s="27">
        <v>5</v>
      </c>
      <c r="M11" s="317">
        <v>666.98</v>
      </c>
      <c r="N11" s="317">
        <v>843.43</v>
      </c>
      <c r="O11" s="317">
        <v>421.7</v>
      </c>
      <c r="P11" s="315">
        <f t="shared" si="5"/>
        <v>84.56</v>
      </c>
      <c r="Q11" s="315">
        <f t="shared" ref="Q11:S11" si="10">Q10+Q$17</f>
        <v>1408.6100000000001</v>
      </c>
      <c r="R11" s="315">
        <f t="shared" si="10"/>
        <v>691.52</v>
      </c>
      <c r="S11" s="315">
        <f t="shared" si="10"/>
        <v>3405.3500000000004</v>
      </c>
      <c r="T11" s="315">
        <f t="shared" si="0"/>
        <v>7522.15</v>
      </c>
      <c r="U11" s="317">
        <v>1536.67</v>
      </c>
      <c r="V11" s="317">
        <v>742.74</v>
      </c>
      <c r="W11" s="317">
        <v>3732.17</v>
      </c>
      <c r="X11" s="315">
        <f t="shared" si="6"/>
        <v>8028.25</v>
      </c>
    </row>
    <row r="12" spans="1:26" x14ac:dyDescent="0.25">
      <c r="A12" s="27">
        <v>6</v>
      </c>
      <c r="B12" s="66">
        <f t="shared" si="7"/>
        <v>360</v>
      </c>
      <c r="C12" s="66">
        <f t="shared" si="1"/>
        <v>156</v>
      </c>
      <c r="D12" s="66">
        <f t="shared" si="8"/>
        <v>494</v>
      </c>
      <c r="E12" s="66">
        <f t="shared" si="2"/>
        <v>312</v>
      </c>
      <c r="F12" s="66">
        <f>F$11+$F$17</f>
        <v>844</v>
      </c>
      <c r="G12" s="315">
        <f t="shared" si="3"/>
        <v>79.069999999999993</v>
      </c>
      <c r="H12" s="66">
        <f t="shared" si="4"/>
        <v>500</v>
      </c>
      <c r="L12" s="27">
        <v>6</v>
      </c>
      <c r="M12" s="317">
        <v>772.29</v>
      </c>
      <c r="N12" s="317">
        <v>896.17</v>
      </c>
      <c r="O12" s="317">
        <v>506.04</v>
      </c>
      <c r="P12" s="315">
        <f t="shared" si="5"/>
        <v>84.56</v>
      </c>
      <c r="Q12" s="315">
        <f t="shared" ref="Q12:S12" si="11">Q11+Q$17</f>
        <v>1664.7200000000003</v>
      </c>
      <c r="R12" s="315">
        <f t="shared" si="11"/>
        <v>819.57999999999993</v>
      </c>
      <c r="S12" s="315">
        <f t="shared" si="11"/>
        <v>3848.1500000000005</v>
      </c>
      <c r="T12" s="315">
        <f t="shared" si="0"/>
        <v>8591.510000000002</v>
      </c>
      <c r="U12" s="317">
        <v>1792.78</v>
      </c>
      <c r="V12" s="317">
        <v>870.8</v>
      </c>
      <c r="W12" s="317">
        <v>4943.68</v>
      </c>
      <c r="X12" s="315">
        <f t="shared" si="6"/>
        <v>9866.32</v>
      </c>
    </row>
    <row r="13" spans="1:26" x14ac:dyDescent="0.25">
      <c r="A13" s="27">
        <v>7</v>
      </c>
      <c r="B13" s="66">
        <f t="shared" si="7"/>
        <v>360</v>
      </c>
      <c r="C13" s="66">
        <f t="shared" si="1"/>
        <v>156</v>
      </c>
      <c r="D13" s="66">
        <f t="shared" si="8"/>
        <v>494</v>
      </c>
      <c r="E13" s="66">
        <f t="shared" si="2"/>
        <v>312</v>
      </c>
      <c r="F13" s="66">
        <f t="shared" ref="F13:F16" si="12">F$11+$F$17</f>
        <v>844</v>
      </c>
      <c r="G13" s="315">
        <f t="shared" si="3"/>
        <v>79.069999999999993</v>
      </c>
      <c r="H13" s="66">
        <f t="shared" si="4"/>
        <v>500</v>
      </c>
      <c r="L13" s="27">
        <v>7</v>
      </c>
      <c r="M13" s="315">
        <f>M12+M$17</f>
        <v>877.59999999999991</v>
      </c>
      <c r="N13" s="315">
        <f>N12+N$17</f>
        <v>948.89</v>
      </c>
      <c r="O13" s="315">
        <f>O12+O$17</f>
        <v>590.38</v>
      </c>
      <c r="P13" s="315">
        <f>P12+P$17</f>
        <v>84.56</v>
      </c>
      <c r="Q13" s="315">
        <f t="shared" ref="Q13:W16" si="13">Q12+Q$17</f>
        <v>1920.8300000000004</v>
      </c>
      <c r="R13" s="315">
        <f t="shared" si="13"/>
        <v>947.63999999999987</v>
      </c>
      <c r="S13" s="315">
        <f t="shared" si="13"/>
        <v>4290.9500000000007</v>
      </c>
      <c r="T13" s="315">
        <f t="shared" si="0"/>
        <v>9660.85</v>
      </c>
      <c r="U13" s="315">
        <f t="shared" si="13"/>
        <v>2048.89</v>
      </c>
      <c r="V13" s="315">
        <f t="shared" si="13"/>
        <v>998.8599999999999</v>
      </c>
      <c r="W13" s="315">
        <f t="shared" si="13"/>
        <v>5386.4800000000005</v>
      </c>
      <c r="X13" s="315">
        <f t="shared" si="6"/>
        <v>10935.66</v>
      </c>
    </row>
    <row r="14" spans="1:26" x14ac:dyDescent="0.25">
      <c r="A14" s="27">
        <v>8</v>
      </c>
      <c r="B14" s="66">
        <f t="shared" si="7"/>
        <v>360</v>
      </c>
      <c r="C14" s="66">
        <f t="shared" si="1"/>
        <v>156</v>
      </c>
      <c r="D14" s="66">
        <f t="shared" si="8"/>
        <v>494</v>
      </c>
      <c r="E14" s="66">
        <f t="shared" si="2"/>
        <v>312</v>
      </c>
      <c r="F14" s="66">
        <f t="shared" si="12"/>
        <v>844</v>
      </c>
      <c r="G14" s="315">
        <f t="shared" si="3"/>
        <v>79.069999999999993</v>
      </c>
      <c r="H14" s="66">
        <f t="shared" si="4"/>
        <v>500</v>
      </c>
      <c r="L14" s="27">
        <v>8</v>
      </c>
      <c r="M14" s="315">
        <f t="shared" ref="M14:P16" si="14">M13+M$17</f>
        <v>982.90999999999985</v>
      </c>
      <c r="N14" s="315">
        <f t="shared" si="14"/>
        <v>1001.61</v>
      </c>
      <c r="O14" s="315">
        <f t="shared" si="14"/>
        <v>674.72</v>
      </c>
      <c r="P14" s="315">
        <f t="shared" si="14"/>
        <v>84.56</v>
      </c>
      <c r="Q14" s="315">
        <f t="shared" si="13"/>
        <v>2176.9400000000005</v>
      </c>
      <c r="R14" s="315">
        <f t="shared" si="13"/>
        <v>1075.6999999999998</v>
      </c>
      <c r="S14" s="315">
        <f t="shared" si="13"/>
        <v>4733.7500000000009</v>
      </c>
      <c r="T14" s="315">
        <f t="shared" si="0"/>
        <v>10730.19</v>
      </c>
      <c r="U14" s="315">
        <f t="shared" si="13"/>
        <v>2305</v>
      </c>
      <c r="V14" s="315">
        <f t="shared" si="13"/>
        <v>1126.9199999999998</v>
      </c>
      <c r="W14" s="315">
        <f t="shared" si="13"/>
        <v>5829.2800000000007</v>
      </c>
      <c r="X14" s="315">
        <f t="shared" si="6"/>
        <v>12005</v>
      </c>
    </row>
    <row r="15" spans="1:26" x14ac:dyDescent="0.25">
      <c r="A15" s="27">
        <v>9</v>
      </c>
      <c r="B15" s="66">
        <f t="shared" si="7"/>
        <v>360</v>
      </c>
      <c r="C15" s="66">
        <f t="shared" si="1"/>
        <v>156</v>
      </c>
      <c r="D15" s="66">
        <f t="shared" si="8"/>
        <v>494</v>
      </c>
      <c r="E15" s="66">
        <f t="shared" si="2"/>
        <v>312</v>
      </c>
      <c r="F15" s="66">
        <f t="shared" si="12"/>
        <v>844</v>
      </c>
      <c r="G15" s="315">
        <f t="shared" si="3"/>
        <v>79.069999999999993</v>
      </c>
      <c r="H15" s="66">
        <f t="shared" si="4"/>
        <v>500</v>
      </c>
      <c r="L15" s="27">
        <v>9</v>
      </c>
      <c r="M15" s="315">
        <f t="shared" si="14"/>
        <v>1088.2199999999998</v>
      </c>
      <c r="N15" s="315">
        <f t="shared" si="14"/>
        <v>1054.33</v>
      </c>
      <c r="O15" s="315">
        <f t="shared" si="14"/>
        <v>759.06000000000006</v>
      </c>
      <c r="P15" s="315">
        <f t="shared" si="14"/>
        <v>84.56</v>
      </c>
      <c r="Q15" s="315">
        <f t="shared" si="13"/>
        <v>2433.0500000000006</v>
      </c>
      <c r="R15" s="315">
        <f t="shared" si="13"/>
        <v>1203.7599999999998</v>
      </c>
      <c r="S15" s="315">
        <f t="shared" si="13"/>
        <v>5176.5500000000011</v>
      </c>
      <c r="T15" s="315">
        <f t="shared" si="0"/>
        <v>11799.53</v>
      </c>
      <c r="U15" s="315">
        <f t="shared" si="13"/>
        <v>2561.11</v>
      </c>
      <c r="V15" s="315">
        <f t="shared" si="13"/>
        <v>1254.9799999999998</v>
      </c>
      <c r="W15" s="315">
        <f t="shared" si="13"/>
        <v>6272.0800000000008</v>
      </c>
      <c r="X15" s="315">
        <f t="shared" si="6"/>
        <v>13074.340000000002</v>
      </c>
    </row>
    <row r="16" spans="1:26" x14ac:dyDescent="0.25">
      <c r="A16" s="27">
        <v>10</v>
      </c>
      <c r="B16" s="66">
        <f t="shared" si="7"/>
        <v>360</v>
      </c>
      <c r="C16" s="66">
        <f t="shared" si="1"/>
        <v>156</v>
      </c>
      <c r="D16" s="66">
        <f t="shared" si="8"/>
        <v>494</v>
      </c>
      <c r="E16" s="66">
        <f t="shared" si="2"/>
        <v>312</v>
      </c>
      <c r="F16" s="66">
        <f t="shared" si="12"/>
        <v>844</v>
      </c>
      <c r="G16" s="315">
        <f t="shared" si="3"/>
        <v>79.069999999999993</v>
      </c>
      <c r="H16" s="66">
        <f t="shared" si="4"/>
        <v>500</v>
      </c>
      <c r="L16" s="27">
        <v>10</v>
      </c>
      <c r="M16" s="315">
        <f t="shared" si="14"/>
        <v>1193.5299999999997</v>
      </c>
      <c r="N16" s="315">
        <f t="shared" si="14"/>
        <v>1107.05</v>
      </c>
      <c r="O16" s="315">
        <f t="shared" si="14"/>
        <v>843.40000000000009</v>
      </c>
      <c r="P16" s="315">
        <f t="shared" si="14"/>
        <v>84.56</v>
      </c>
      <c r="Q16" s="315">
        <f t="shared" si="13"/>
        <v>2689.1600000000008</v>
      </c>
      <c r="R16" s="315">
        <f t="shared" si="13"/>
        <v>1331.8199999999997</v>
      </c>
      <c r="S16" s="315">
        <f t="shared" si="13"/>
        <v>5619.3500000000013</v>
      </c>
      <c r="T16" s="315">
        <f t="shared" si="0"/>
        <v>12868.870000000003</v>
      </c>
      <c r="U16" s="315">
        <f t="shared" si="13"/>
        <v>2817.2200000000003</v>
      </c>
      <c r="V16" s="315">
        <f t="shared" si="13"/>
        <v>1383.0399999999997</v>
      </c>
      <c r="W16" s="315">
        <f t="shared" si="13"/>
        <v>6714.880000000001</v>
      </c>
      <c r="X16" s="315">
        <f t="shared" si="6"/>
        <v>14143.68</v>
      </c>
    </row>
    <row r="17" spans="1:25" ht="33.75" x14ac:dyDescent="0.25">
      <c r="E17" s="1" t="s">
        <v>118</v>
      </c>
      <c r="F17" s="1">
        <v>29</v>
      </c>
      <c r="L17" s="29" t="s">
        <v>119</v>
      </c>
      <c r="M17" s="317">
        <v>105.31</v>
      </c>
      <c r="N17" s="317">
        <v>52.72</v>
      </c>
      <c r="O17" s="317">
        <v>84.34</v>
      </c>
      <c r="P17" s="318">
        <v>0</v>
      </c>
      <c r="Q17" s="317">
        <v>256.11</v>
      </c>
      <c r="R17" s="317">
        <v>128.06</v>
      </c>
      <c r="S17" s="317">
        <v>442.8</v>
      </c>
      <c r="T17" s="315">
        <f t="shared" si="0"/>
        <v>1069.3399999999999</v>
      </c>
      <c r="U17" s="317">
        <v>256.11</v>
      </c>
      <c r="V17" s="317">
        <v>128.06</v>
      </c>
      <c r="W17" s="317">
        <v>442.8</v>
      </c>
      <c r="X17" s="315">
        <f t="shared" si="6"/>
        <v>1069.3400000000001</v>
      </c>
    </row>
    <row r="18" spans="1:25" x14ac:dyDescent="0.25">
      <c r="L18" s="154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25" ht="21" customHeight="1" x14ac:dyDescent="0.25">
      <c r="A19" s="153" t="s">
        <v>120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42"/>
      <c r="N19" s="366" t="s">
        <v>121</v>
      </c>
      <c r="O19" s="367"/>
      <c r="P19" s="367"/>
      <c r="Q19" s="367"/>
      <c r="R19" s="367"/>
      <c r="S19" s="367"/>
      <c r="T19" s="368"/>
      <c r="V19" s="380" t="s">
        <v>122</v>
      </c>
      <c r="W19" s="389"/>
      <c r="X19" s="389"/>
      <c r="Y19" s="389"/>
    </row>
    <row r="20" spans="1:25" ht="9.75" customHeight="1" x14ac:dyDescent="0.25">
      <c r="N20" s="369"/>
      <c r="O20" s="370"/>
      <c r="P20" s="370"/>
      <c r="Q20" s="370"/>
      <c r="R20" s="370"/>
      <c r="S20" s="370"/>
      <c r="T20" s="371"/>
      <c r="V20" s="380"/>
      <c r="W20" s="389"/>
      <c r="X20" s="389"/>
      <c r="Y20" s="389"/>
    </row>
    <row r="21" spans="1:25" ht="39.75" customHeight="1" x14ac:dyDescent="0.25">
      <c r="B21" s="384" t="s">
        <v>123</v>
      </c>
      <c r="C21" s="385"/>
      <c r="D21" s="384" t="s">
        <v>124</v>
      </c>
      <c r="E21" s="385"/>
      <c r="F21" s="384" t="s">
        <v>125</v>
      </c>
      <c r="G21" s="385"/>
      <c r="H21" s="384" t="s">
        <v>126</v>
      </c>
      <c r="I21" s="385"/>
      <c r="N21" s="372"/>
      <c r="O21" s="373"/>
      <c r="P21" s="373"/>
      <c r="Q21" s="373"/>
      <c r="R21" s="373"/>
      <c r="S21" s="373"/>
      <c r="T21" s="374"/>
      <c r="V21" s="382"/>
      <c r="W21" s="390"/>
      <c r="X21" s="390"/>
      <c r="Y21" s="390"/>
    </row>
    <row r="22" spans="1:25" ht="45" x14ac:dyDescent="0.25">
      <c r="A22" s="148" t="s">
        <v>85</v>
      </c>
      <c r="B22" s="148" t="s">
        <v>63</v>
      </c>
      <c r="C22" s="148" t="s">
        <v>127</v>
      </c>
      <c r="D22" s="148" t="s">
        <v>63</v>
      </c>
      <c r="E22" s="148" t="s">
        <v>67</v>
      </c>
      <c r="F22" s="148" t="s">
        <v>63</v>
      </c>
      <c r="G22" s="148" t="s">
        <v>67</v>
      </c>
      <c r="H22" s="148" t="s">
        <v>63</v>
      </c>
      <c r="I22" s="148" t="s">
        <v>67</v>
      </c>
      <c r="J22" s="148" t="s">
        <v>65</v>
      </c>
      <c r="K22" s="148" t="s">
        <v>66</v>
      </c>
      <c r="L22" s="148" t="s">
        <v>68</v>
      </c>
      <c r="N22" s="148" t="s">
        <v>85</v>
      </c>
      <c r="O22" s="148" t="s">
        <v>128</v>
      </c>
      <c r="P22" s="148" t="s">
        <v>129</v>
      </c>
      <c r="Q22" s="148" t="s">
        <v>130</v>
      </c>
      <c r="R22" s="148" t="s">
        <v>131</v>
      </c>
      <c r="S22" s="148" t="s">
        <v>56</v>
      </c>
      <c r="T22" s="148" t="s">
        <v>132</v>
      </c>
      <c r="V22" s="148" t="s">
        <v>133</v>
      </c>
      <c r="W22" s="387" t="s">
        <v>134</v>
      </c>
      <c r="X22" s="388"/>
      <c r="Y22" s="148" t="s">
        <v>135</v>
      </c>
    </row>
    <row r="23" spans="1:25" ht="15" customHeight="1" x14ac:dyDescent="0.25">
      <c r="A23" s="27">
        <v>1</v>
      </c>
      <c r="B23" s="118">
        <v>786</v>
      </c>
      <c r="C23" s="118">
        <v>156</v>
      </c>
      <c r="D23" s="319"/>
      <c r="E23" s="319"/>
      <c r="F23" s="319"/>
      <c r="G23" s="319"/>
      <c r="H23" s="118">
        <v>786</v>
      </c>
      <c r="I23" s="118">
        <v>156</v>
      </c>
      <c r="J23" s="118">
        <v>582</v>
      </c>
      <c r="K23" s="317">
        <v>79.069999999999993</v>
      </c>
      <c r="L23" s="118">
        <v>500</v>
      </c>
      <c r="N23" s="198">
        <v>1</v>
      </c>
      <c r="O23" s="199">
        <f t="shared" ref="O23:O28" si="15">(F7+H7)*12*$Y$24</f>
        <v>10680</v>
      </c>
      <c r="P23" s="199">
        <f>(Q7*$Y$29)+(R7*$Y$30)</f>
        <v>394.41499999999996</v>
      </c>
      <c r="Q23" s="199">
        <f>S7*$Y$32</f>
        <v>1143.905</v>
      </c>
      <c r="R23" s="199">
        <f>N7*$Y$31</f>
        <v>316.28500000000003</v>
      </c>
      <c r="S23" s="199">
        <f>O7*$Y$33</f>
        <v>84.34</v>
      </c>
      <c r="T23" s="199">
        <f>M7*$Y$28</f>
        <v>122.87</v>
      </c>
      <c r="V23" s="150" t="s">
        <v>136</v>
      </c>
      <c r="W23" s="386" t="s">
        <v>63</v>
      </c>
      <c r="X23" s="386"/>
      <c r="Y23" s="281">
        <v>0.5</v>
      </c>
    </row>
    <row r="24" spans="1:25" x14ac:dyDescent="0.25">
      <c r="A24" s="27">
        <v>2</v>
      </c>
      <c r="B24" s="66">
        <f>B$23</f>
        <v>786</v>
      </c>
      <c r="C24" s="66">
        <f>C$23</f>
        <v>156</v>
      </c>
      <c r="D24" s="118">
        <v>1134</v>
      </c>
      <c r="E24" s="66">
        <f>C24*2</f>
        <v>312</v>
      </c>
      <c r="F24" s="118">
        <v>1569</v>
      </c>
      <c r="G24" s="66">
        <f>C24*2</f>
        <v>312</v>
      </c>
      <c r="H24" s="66">
        <f>H$23</f>
        <v>786</v>
      </c>
      <c r="I24" s="66">
        <f>I$23</f>
        <v>156</v>
      </c>
      <c r="J24" s="118">
        <v>915</v>
      </c>
      <c r="K24" s="315">
        <f>K$23</f>
        <v>79.069999999999993</v>
      </c>
      <c r="L24" s="66">
        <f>L$23</f>
        <v>500</v>
      </c>
      <c r="N24" s="198">
        <v>2</v>
      </c>
      <c r="O24" s="199">
        <f t="shared" si="15"/>
        <v>13704</v>
      </c>
      <c r="P24" s="199">
        <f>(U8*$Y$29)+(V8*$Y$30)</f>
        <v>788.82999999999993</v>
      </c>
      <c r="Q24" s="199">
        <f>W8*$Y$32</f>
        <v>1682.6389999999999</v>
      </c>
      <c r="R24" s="199">
        <f t="shared" ref="R24:R32" si="16">N8*$Y$31</f>
        <v>342.64499999999998</v>
      </c>
      <c r="S24" s="199">
        <f t="shared" ref="S24:S32" si="17">O8*$Y$33</f>
        <v>168.68</v>
      </c>
      <c r="T24" s="199">
        <f t="shared" ref="T24:T32" si="18">M8*$Y$28</f>
        <v>175.52500000000001</v>
      </c>
      <c r="V24" s="150" t="s">
        <v>136</v>
      </c>
      <c r="W24" s="386" t="s">
        <v>65</v>
      </c>
      <c r="X24" s="386"/>
      <c r="Y24" s="281">
        <v>1</v>
      </c>
    </row>
    <row r="25" spans="1:25" x14ac:dyDescent="0.25">
      <c r="A25" s="27">
        <v>3</v>
      </c>
      <c r="B25" s="66">
        <f t="shared" ref="B25:C32" si="19">B$23</f>
        <v>786</v>
      </c>
      <c r="C25" s="66">
        <f t="shared" si="19"/>
        <v>156</v>
      </c>
      <c r="D25" s="66">
        <f>D$24</f>
        <v>1134</v>
      </c>
      <c r="E25" s="66">
        <f>E$24</f>
        <v>312</v>
      </c>
      <c r="F25" s="66">
        <f>F$24</f>
        <v>1569</v>
      </c>
      <c r="G25" s="66">
        <f>G$24</f>
        <v>312</v>
      </c>
      <c r="H25" s="66">
        <f t="shared" ref="H25:I32" si="20">H$23</f>
        <v>786</v>
      </c>
      <c r="I25" s="66">
        <f t="shared" si="20"/>
        <v>156</v>
      </c>
      <c r="J25" s="118">
        <v>990</v>
      </c>
      <c r="K25" s="315">
        <f t="shared" ref="K25:L32" si="21">K$23</f>
        <v>79.069999999999993</v>
      </c>
      <c r="L25" s="66">
        <f t="shared" si="21"/>
        <v>500</v>
      </c>
      <c r="N25" s="198">
        <v>3</v>
      </c>
      <c r="O25" s="199">
        <f t="shared" si="15"/>
        <v>14364</v>
      </c>
      <c r="P25" s="199">
        <f t="shared" ref="P25:P32" si="22">(U9*$Y$29)+(V9*$Y$30)</f>
        <v>1057.749</v>
      </c>
      <c r="Q25" s="199">
        <f t="shared" ref="Q25:Q32" si="23">W9*$Y$32</f>
        <v>1992.5989999999999</v>
      </c>
      <c r="R25" s="199">
        <f t="shared" si="16"/>
        <v>369.005</v>
      </c>
      <c r="S25" s="199">
        <f t="shared" si="17"/>
        <v>253.02</v>
      </c>
      <c r="T25" s="199">
        <f t="shared" si="18"/>
        <v>228.18</v>
      </c>
      <c r="V25" s="150" t="s">
        <v>136</v>
      </c>
      <c r="W25" s="386" t="s">
        <v>66</v>
      </c>
      <c r="X25" s="386"/>
      <c r="Y25" s="281">
        <v>0</v>
      </c>
    </row>
    <row r="26" spans="1:25" x14ac:dyDescent="0.25">
      <c r="A26" s="27">
        <v>4</v>
      </c>
      <c r="B26" s="66">
        <f t="shared" si="19"/>
        <v>786</v>
      </c>
      <c r="C26" s="66">
        <f t="shared" si="19"/>
        <v>156</v>
      </c>
      <c r="D26" s="66">
        <f t="shared" ref="D26:G32" si="24">D$24</f>
        <v>1134</v>
      </c>
      <c r="E26" s="66">
        <f t="shared" si="24"/>
        <v>312</v>
      </c>
      <c r="F26" s="66">
        <f t="shared" si="24"/>
        <v>1569</v>
      </c>
      <c r="G26" s="66">
        <f t="shared" si="24"/>
        <v>312</v>
      </c>
      <c r="H26" s="66">
        <f t="shared" si="20"/>
        <v>786</v>
      </c>
      <c r="I26" s="66">
        <f t="shared" si="20"/>
        <v>156</v>
      </c>
      <c r="J26" s="118">
        <v>1074</v>
      </c>
      <c r="K26" s="315">
        <f t="shared" si="21"/>
        <v>79.069999999999993</v>
      </c>
      <c r="L26" s="66">
        <f t="shared" si="21"/>
        <v>500</v>
      </c>
      <c r="N26" s="198">
        <v>4</v>
      </c>
      <c r="O26" s="199">
        <f t="shared" si="15"/>
        <v>15072</v>
      </c>
      <c r="P26" s="199">
        <f t="shared" si="22"/>
        <v>1326.6679999999999</v>
      </c>
      <c r="Q26" s="199">
        <f t="shared" si="23"/>
        <v>2302.5589999999997</v>
      </c>
      <c r="R26" s="199">
        <f t="shared" si="16"/>
        <v>395.36500000000001</v>
      </c>
      <c r="S26" s="199">
        <f t="shared" si="17"/>
        <v>337.36</v>
      </c>
      <c r="T26" s="199">
        <f t="shared" si="18"/>
        <v>280.83499999999998</v>
      </c>
      <c r="V26" s="150" t="s">
        <v>136</v>
      </c>
      <c r="W26" s="386" t="s">
        <v>67</v>
      </c>
      <c r="X26" s="386"/>
      <c r="Y26" s="281">
        <v>0</v>
      </c>
    </row>
    <row r="27" spans="1:25" x14ac:dyDescent="0.25">
      <c r="A27" s="27">
        <v>5</v>
      </c>
      <c r="B27" s="66">
        <f t="shared" si="19"/>
        <v>786</v>
      </c>
      <c r="C27" s="66">
        <f t="shared" si="19"/>
        <v>156</v>
      </c>
      <c r="D27" s="66">
        <f t="shared" si="24"/>
        <v>1134</v>
      </c>
      <c r="E27" s="66">
        <f t="shared" si="24"/>
        <v>312</v>
      </c>
      <c r="F27" s="66">
        <f t="shared" si="24"/>
        <v>1569</v>
      </c>
      <c r="G27" s="66">
        <f t="shared" si="24"/>
        <v>312</v>
      </c>
      <c r="H27" s="66">
        <f t="shared" si="20"/>
        <v>786</v>
      </c>
      <c r="I27" s="66">
        <f t="shared" si="20"/>
        <v>156</v>
      </c>
      <c r="J27" s="118">
        <v>1159</v>
      </c>
      <c r="K27" s="315">
        <f t="shared" si="21"/>
        <v>79.069999999999993</v>
      </c>
      <c r="L27" s="66">
        <f t="shared" si="21"/>
        <v>500</v>
      </c>
      <c r="N27" s="198">
        <v>5</v>
      </c>
      <c r="O27" s="199">
        <f t="shared" si="15"/>
        <v>15780</v>
      </c>
      <c r="P27" s="199">
        <f t="shared" si="22"/>
        <v>1595.587</v>
      </c>
      <c r="Q27" s="199">
        <f t="shared" si="23"/>
        <v>2612.5189999999998</v>
      </c>
      <c r="R27" s="199">
        <f t="shared" si="16"/>
        <v>421.71499999999997</v>
      </c>
      <c r="S27" s="199">
        <f t="shared" si="17"/>
        <v>421.7</v>
      </c>
      <c r="T27" s="199">
        <f t="shared" si="18"/>
        <v>333.49</v>
      </c>
      <c r="V27" s="150" t="s">
        <v>136</v>
      </c>
      <c r="W27" s="386" t="s">
        <v>68</v>
      </c>
      <c r="X27" s="386"/>
      <c r="Y27" s="281">
        <v>1</v>
      </c>
    </row>
    <row r="28" spans="1:25" x14ac:dyDescent="0.25">
      <c r="A28" s="27">
        <v>6</v>
      </c>
      <c r="B28" s="66">
        <f t="shared" si="19"/>
        <v>786</v>
      </c>
      <c r="C28" s="66">
        <f t="shared" si="19"/>
        <v>156</v>
      </c>
      <c r="D28" s="66">
        <f t="shared" si="24"/>
        <v>1134</v>
      </c>
      <c r="E28" s="66">
        <f t="shared" si="24"/>
        <v>312</v>
      </c>
      <c r="F28" s="66">
        <f t="shared" si="24"/>
        <v>1569</v>
      </c>
      <c r="G28" s="66">
        <f t="shared" si="24"/>
        <v>312</v>
      </c>
      <c r="H28" s="66">
        <f t="shared" si="20"/>
        <v>786</v>
      </c>
      <c r="I28" s="66">
        <f t="shared" si="20"/>
        <v>156</v>
      </c>
      <c r="J28" s="118">
        <v>1201</v>
      </c>
      <c r="K28" s="315">
        <f t="shared" si="21"/>
        <v>79.069999999999993</v>
      </c>
      <c r="L28" s="66">
        <f t="shared" si="21"/>
        <v>500</v>
      </c>
      <c r="N28" s="198">
        <v>6</v>
      </c>
      <c r="O28" s="199">
        <f t="shared" si="15"/>
        <v>16128</v>
      </c>
      <c r="P28" s="199">
        <f t="shared" si="22"/>
        <v>1864.5059999999999</v>
      </c>
      <c r="Q28" s="199">
        <f t="shared" si="23"/>
        <v>3460.576</v>
      </c>
      <c r="R28" s="199">
        <f t="shared" si="16"/>
        <v>448.08499999999998</v>
      </c>
      <c r="S28" s="199">
        <f t="shared" si="17"/>
        <v>506.04</v>
      </c>
      <c r="T28" s="199">
        <f t="shared" si="18"/>
        <v>386.14499999999998</v>
      </c>
      <c r="V28" s="150" t="s">
        <v>137</v>
      </c>
      <c r="W28" s="386" t="s">
        <v>51</v>
      </c>
      <c r="X28" s="386"/>
      <c r="Y28" s="281">
        <v>0.5</v>
      </c>
    </row>
    <row r="29" spans="1:25" x14ac:dyDescent="0.25">
      <c r="A29" s="27">
        <v>7</v>
      </c>
      <c r="B29" s="66">
        <f t="shared" si="19"/>
        <v>786</v>
      </c>
      <c r="C29" s="66">
        <f t="shared" si="19"/>
        <v>156</v>
      </c>
      <c r="D29" s="66">
        <f t="shared" si="24"/>
        <v>1134</v>
      </c>
      <c r="E29" s="66">
        <f t="shared" si="24"/>
        <v>312</v>
      </c>
      <c r="F29" s="66">
        <f t="shared" si="24"/>
        <v>1569</v>
      </c>
      <c r="G29" s="66">
        <f t="shared" si="24"/>
        <v>312</v>
      </c>
      <c r="H29" s="66">
        <f t="shared" si="20"/>
        <v>786</v>
      </c>
      <c r="I29" s="66">
        <f t="shared" si="20"/>
        <v>156</v>
      </c>
      <c r="J29" s="66">
        <f>J28</f>
        <v>1201</v>
      </c>
      <c r="K29" s="315">
        <f t="shared" si="21"/>
        <v>79.069999999999993</v>
      </c>
      <c r="L29" s="66">
        <f t="shared" si="21"/>
        <v>500</v>
      </c>
      <c r="N29" s="198">
        <v>7</v>
      </c>
      <c r="O29" s="199">
        <f t="shared" ref="O29:O32" si="25">(F13+H13)*12*$Y$24</f>
        <v>16128</v>
      </c>
      <c r="P29" s="199">
        <f t="shared" si="22"/>
        <v>2133.4249999999997</v>
      </c>
      <c r="Q29" s="199">
        <f t="shared" si="23"/>
        <v>3770.5360000000001</v>
      </c>
      <c r="R29" s="199">
        <f t="shared" si="16"/>
        <v>474.44499999999999</v>
      </c>
      <c r="S29" s="199">
        <f t="shared" si="17"/>
        <v>590.38</v>
      </c>
      <c r="T29" s="199">
        <f t="shared" si="18"/>
        <v>438.79999999999995</v>
      </c>
      <c r="V29" s="150" t="s">
        <v>137</v>
      </c>
      <c r="W29" s="386" t="s">
        <v>52</v>
      </c>
      <c r="X29" s="386"/>
      <c r="Y29" s="281">
        <v>0.7</v>
      </c>
    </row>
    <row r="30" spans="1:25" x14ac:dyDescent="0.25">
      <c r="A30" s="27">
        <v>8</v>
      </c>
      <c r="B30" s="66">
        <f t="shared" si="19"/>
        <v>786</v>
      </c>
      <c r="C30" s="66">
        <f t="shared" si="19"/>
        <v>156</v>
      </c>
      <c r="D30" s="66">
        <f t="shared" si="24"/>
        <v>1134</v>
      </c>
      <c r="E30" s="66">
        <f t="shared" si="24"/>
        <v>312</v>
      </c>
      <c r="F30" s="66">
        <f t="shared" si="24"/>
        <v>1569</v>
      </c>
      <c r="G30" s="66">
        <f t="shared" si="24"/>
        <v>312</v>
      </c>
      <c r="H30" s="66">
        <f t="shared" si="20"/>
        <v>786</v>
      </c>
      <c r="I30" s="66">
        <f t="shared" si="20"/>
        <v>156</v>
      </c>
      <c r="J30" s="66">
        <f t="shared" ref="J30:J32" si="26">J29</f>
        <v>1201</v>
      </c>
      <c r="K30" s="315">
        <f t="shared" si="21"/>
        <v>79.069999999999993</v>
      </c>
      <c r="L30" s="66">
        <f t="shared" si="21"/>
        <v>500</v>
      </c>
      <c r="N30" s="198">
        <v>8</v>
      </c>
      <c r="O30" s="199">
        <f t="shared" si="25"/>
        <v>16128</v>
      </c>
      <c r="P30" s="199">
        <f t="shared" si="22"/>
        <v>2402.3440000000001</v>
      </c>
      <c r="Q30" s="199">
        <f t="shared" si="23"/>
        <v>4080.4960000000001</v>
      </c>
      <c r="R30" s="199">
        <f t="shared" si="16"/>
        <v>500.80500000000001</v>
      </c>
      <c r="S30" s="199">
        <f t="shared" si="17"/>
        <v>674.72</v>
      </c>
      <c r="T30" s="199">
        <f t="shared" si="18"/>
        <v>491.45499999999993</v>
      </c>
      <c r="V30" s="150" t="s">
        <v>137</v>
      </c>
      <c r="W30" s="386" t="s">
        <v>53</v>
      </c>
      <c r="X30" s="386"/>
      <c r="Y30" s="281">
        <v>0.7</v>
      </c>
    </row>
    <row r="31" spans="1:25" x14ac:dyDescent="0.25">
      <c r="A31" s="27">
        <v>9</v>
      </c>
      <c r="B31" s="66">
        <f t="shared" si="19"/>
        <v>786</v>
      </c>
      <c r="C31" s="66">
        <f t="shared" si="19"/>
        <v>156</v>
      </c>
      <c r="D31" s="66">
        <f t="shared" si="24"/>
        <v>1134</v>
      </c>
      <c r="E31" s="66">
        <f t="shared" si="24"/>
        <v>312</v>
      </c>
      <c r="F31" s="66">
        <f t="shared" si="24"/>
        <v>1569</v>
      </c>
      <c r="G31" s="66">
        <f t="shared" si="24"/>
        <v>312</v>
      </c>
      <c r="H31" s="66">
        <f t="shared" si="20"/>
        <v>786</v>
      </c>
      <c r="I31" s="66">
        <f t="shared" si="20"/>
        <v>156</v>
      </c>
      <c r="J31" s="66">
        <f t="shared" si="26"/>
        <v>1201</v>
      </c>
      <c r="K31" s="315">
        <f t="shared" si="21"/>
        <v>79.069999999999993</v>
      </c>
      <c r="L31" s="66">
        <f t="shared" si="21"/>
        <v>500</v>
      </c>
      <c r="N31" s="198">
        <v>9</v>
      </c>
      <c r="O31" s="199">
        <f t="shared" si="25"/>
        <v>16128</v>
      </c>
      <c r="P31" s="199">
        <f t="shared" si="22"/>
        <v>2671.2629999999999</v>
      </c>
      <c r="Q31" s="199">
        <f t="shared" si="23"/>
        <v>4390.4560000000001</v>
      </c>
      <c r="R31" s="199">
        <f t="shared" si="16"/>
        <v>527.16499999999996</v>
      </c>
      <c r="S31" s="199">
        <f t="shared" si="17"/>
        <v>759.06000000000006</v>
      </c>
      <c r="T31" s="199">
        <f t="shared" si="18"/>
        <v>544.1099999999999</v>
      </c>
      <c r="V31" s="150" t="s">
        <v>137</v>
      </c>
      <c r="W31" s="386" t="s">
        <v>54</v>
      </c>
      <c r="X31" s="386"/>
      <c r="Y31" s="281">
        <v>0.5</v>
      </c>
    </row>
    <row r="32" spans="1:25" x14ac:dyDescent="0.25">
      <c r="A32" s="27">
        <v>10</v>
      </c>
      <c r="B32" s="66">
        <f t="shared" si="19"/>
        <v>786</v>
      </c>
      <c r="C32" s="66">
        <f t="shared" si="19"/>
        <v>156</v>
      </c>
      <c r="D32" s="66">
        <f t="shared" si="24"/>
        <v>1134</v>
      </c>
      <c r="E32" s="66">
        <f t="shared" si="24"/>
        <v>312</v>
      </c>
      <c r="F32" s="66">
        <f t="shared" si="24"/>
        <v>1569</v>
      </c>
      <c r="G32" s="66">
        <f t="shared" si="24"/>
        <v>312</v>
      </c>
      <c r="H32" s="66">
        <f t="shared" si="20"/>
        <v>786</v>
      </c>
      <c r="I32" s="66">
        <f t="shared" si="20"/>
        <v>156</v>
      </c>
      <c r="J32" s="66">
        <f t="shared" si="26"/>
        <v>1201</v>
      </c>
      <c r="K32" s="315">
        <f t="shared" si="21"/>
        <v>79.069999999999993</v>
      </c>
      <c r="L32" s="66">
        <f t="shared" si="21"/>
        <v>500</v>
      </c>
      <c r="N32" s="198">
        <v>10</v>
      </c>
      <c r="O32" s="199">
        <f t="shared" si="25"/>
        <v>16128</v>
      </c>
      <c r="P32" s="199">
        <f t="shared" si="22"/>
        <v>2940.1819999999998</v>
      </c>
      <c r="Q32" s="199">
        <f t="shared" si="23"/>
        <v>4700.4160000000002</v>
      </c>
      <c r="R32" s="199">
        <f t="shared" si="16"/>
        <v>553.52499999999998</v>
      </c>
      <c r="S32" s="199">
        <f t="shared" si="17"/>
        <v>843.40000000000009</v>
      </c>
      <c r="T32" s="199">
        <f t="shared" si="18"/>
        <v>596.76499999999987</v>
      </c>
      <c r="V32" s="150" t="s">
        <v>137</v>
      </c>
      <c r="W32" s="386" t="s">
        <v>55</v>
      </c>
      <c r="X32" s="386"/>
      <c r="Y32" s="281">
        <v>0.7</v>
      </c>
    </row>
    <row r="33" spans="1:25" ht="30" x14ac:dyDescent="0.25">
      <c r="N33" s="200" t="s">
        <v>138</v>
      </c>
      <c r="O33" s="199"/>
      <c r="P33" s="199"/>
      <c r="Q33" s="199"/>
      <c r="R33" s="199"/>
      <c r="S33" s="199"/>
      <c r="T33" s="199"/>
      <c r="V33" s="150" t="s">
        <v>137</v>
      </c>
      <c r="W33" s="386" t="s">
        <v>56</v>
      </c>
      <c r="X33" s="386"/>
      <c r="Y33" s="281">
        <v>1</v>
      </c>
    </row>
    <row r="34" spans="1:25" x14ac:dyDescent="0.25">
      <c r="V34" s="150" t="s">
        <v>137</v>
      </c>
      <c r="W34" s="386" t="s">
        <v>57</v>
      </c>
      <c r="X34" s="386"/>
      <c r="Y34" s="281">
        <v>1</v>
      </c>
    </row>
    <row r="35" spans="1:25" ht="21" customHeight="1" x14ac:dyDescent="0.25">
      <c r="A35" s="366" t="s">
        <v>25</v>
      </c>
      <c r="B35" s="367"/>
      <c r="C35" s="367"/>
      <c r="D35" s="368"/>
      <c r="F35" s="378" t="s">
        <v>139</v>
      </c>
      <c r="G35" s="379"/>
      <c r="V35" s="150" t="s">
        <v>137</v>
      </c>
      <c r="W35" s="386" t="s">
        <v>58</v>
      </c>
      <c r="X35" s="386"/>
      <c r="Y35" s="281">
        <v>0.5</v>
      </c>
    </row>
    <row r="36" spans="1:25" ht="15" customHeight="1" x14ac:dyDescent="0.25">
      <c r="A36" s="369"/>
      <c r="B36" s="370"/>
      <c r="C36" s="370"/>
      <c r="D36" s="371"/>
      <c r="F36" s="380"/>
      <c r="G36" s="381"/>
    </row>
    <row r="37" spans="1:25" ht="15" customHeight="1" x14ac:dyDescent="0.25">
      <c r="A37" s="372"/>
      <c r="B37" s="373"/>
      <c r="C37" s="373"/>
      <c r="D37" s="374"/>
      <c r="F37" s="382"/>
      <c r="G37" s="383"/>
    </row>
    <row r="38" spans="1:25" x14ac:dyDescent="0.25">
      <c r="A38" s="184" t="s">
        <v>140</v>
      </c>
      <c r="B38" s="185"/>
      <c r="C38" s="186" t="s">
        <v>141</v>
      </c>
      <c r="D38" s="187"/>
      <c r="F38" s="148" t="s">
        <v>85</v>
      </c>
      <c r="G38" s="148" t="s">
        <v>142</v>
      </c>
    </row>
    <row r="39" spans="1:25" x14ac:dyDescent="0.25">
      <c r="A39" s="8" t="s">
        <v>29</v>
      </c>
      <c r="B39" s="138"/>
      <c r="C39" s="150" t="s">
        <v>99</v>
      </c>
      <c r="D39" s="317">
        <v>87.77</v>
      </c>
      <c r="F39" s="27">
        <v>1</v>
      </c>
      <c r="G39" s="28">
        <v>5000</v>
      </c>
    </row>
    <row r="40" spans="1:25" x14ac:dyDescent="0.25">
      <c r="A40" s="8" t="s">
        <v>32</v>
      </c>
      <c r="B40" s="138"/>
      <c r="C40" s="150" t="s">
        <v>104</v>
      </c>
      <c r="D40" s="317">
        <v>204.89</v>
      </c>
      <c r="F40" s="27">
        <v>2</v>
      </c>
      <c r="G40" s="66">
        <f t="shared" ref="G40:G48" si="27">G39+$G$49</f>
        <v>7500</v>
      </c>
    </row>
    <row r="41" spans="1:25" x14ac:dyDescent="0.25">
      <c r="A41" s="8" t="s">
        <v>35</v>
      </c>
      <c r="B41" s="138"/>
      <c r="C41" s="150" t="s">
        <v>104</v>
      </c>
      <c r="D41" s="317">
        <v>790.72</v>
      </c>
      <c r="F41" s="27">
        <v>3</v>
      </c>
      <c r="G41" s="66">
        <f t="shared" si="27"/>
        <v>10000</v>
      </c>
    </row>
    <row r="42" spans="1:25" x14ac:dyDescent="0.25">
      <c r="A42" s="8" t="s">
        <v>37</v>
      </c>
      <c r="B42" s="138"/>
      <c r="C42" s="150" t="s">
        <v>143</v>
      </c>
      <c r="D42" s="317">
        <v>87.77</v>
      </c>
      <c r="F42" s="27">
        <v>4</v>
      </c>
      <c r="G42" s="66">
        <f t="shared" si="27"/>
        <v>12500</v>
      </c>
    </row>
    <row r="43" spans="1:25" x14ac:dyDescent="0.25">
      <c r="A43" s="8" t="s">
        <v>58</v>
      </c>
      <c r="B43" s="138"/>
      <c r="C43" s="150" t="s">
        <v>315</v>
      </c>
      <c r="D43" s="317">
        <v>160.82</v>
      </c>
      <c r="F43" s="27">
        <v>5</v>
      </c>
      <c r="G43" s="66">
        <f t="shared" si="27"/>
        <v>15000</v>
      </c>
    </row>
    <row r="44" spans="1:25" x14ac:dyDescent="0.25">
      <c r="A44" s="8" t="s">
        <v>144</v>
      </c>
      <c r="B44" s="138"/>
      <c r="C44" s="150"/>
      <c r="D44" s="316"/>
      <c r="F44" s="27">
        <v>6</v>
      </c>
      <c r="G44" s="66">
        <f t="shared" si="27"/>
        <v>17500</v>
      </c>
    </row>
    <row r="45" spans="1:25" x14ac:dyDescent="0.25">
      <c r="F45" s="27">
        <v>7</v>
      </c>
      <c r="G45" s="66">
        <f t="shared" si="27"/>
        <v>20000</v>
      </c>
    </row>
    <row r="46" spans="1:25" x14ac:dyDescent="0.25">
      <c r="F46" s="27">
        <v>8</v>
      </c>
      <c r="G46" s="66">
        <f t="shared" si="27"/>
        <v>22500</v>
      </c>
    </row>
    <row r="47" spans="1:25" x14ac:dyDescent="0.25">
      <c r="F47" s="27">
        <v>9</v>
      </c>
      <c r="G47" s="66">
        <f t="shared" si="27"/>
        <v>25000</v>
      </c>
    </row>
    <row r="48" spans="1:25" x14ac:dyDescent="0.25">
      <c r="F48" s="27">
        <v>10</v>
      </c>
      <c r="G48" s="66">
        <f t="shared" si="27"/>
        <v>27500</v>
      </c>
    </row>
    <row r="49" spans="6:7" ht="22.5" x14ac:dyDescent="0.25">
      <c r="F49" s="29" t="s">
        <v>119</v>
      </c>
      <c r="G49" s="28">
        <v>2500</v>
      </c>
    </row>
  </sheetData>
  <sheetProtection algorithmName="SHA-512" hashValue="CqorQmFDttkKvCMQuxzzKwztqkUC99GRhJM6gaoDTveeyzj8ZgPEh7mGv0pn1S/c1G+bs031ag8RUQEIFPyzWA==" saltValue="rKDIEbX1cnv+AW+60DILaA==" spinCount="100000" sheet="1" objects="1" scenarios="1"/>
  <mergeCells count="27">
    <mergeCell ref="W22:X22"/>
    <mergeCell ref="V19:Y21"/>
    <mergeCell ref="W30:X30"/>
    <mergeCell ref="W31:X31"/>
    <mergeCell ref="W32:X32"/>
    <mergeCell ref="W34:X34"/>
    <mergeCell ref="W25:X25"/>
    <mergeCell ref="W26:X26"/>
    <mergeCell ref="W27:X27"/>
    <mergeCell ref="W28:X28"/>
    <mergeCell ref="W29:X29"/>
    <mergeCell ref="L1:X3"/>
    <mergeCell ref="A35:D37"/>
    <mergeCell ref="Q5:T5"/>
    <mergeCell ref="U5:X5"/>
    <mergeCell ref="F35:G37"/>
    <mergeCell ref="F21:G21"/>
    <mergeCell ref="B5:C5"/>
    <mergeCell ref="D5:E5"/>
    <mergeCell ref="B21:C21"/>
    <mergeCell ref="D21:E21"/>
    <mergeCell ref="N19:T21"/>
    <mergeCell ref="H21:I21"/>
    <mergeCell ref="W35:X35"/>
    <mergeCell ref="W23:X23"/>
    <mergeCell ref="W24:X24"/>
    <mergeCell ref="W33:X33"/>
  </mergeCells>
  <pageMargins left="0.25" right="0.25" top="0.75" bottom="0.75" header="0.3" footer="0.3"/>
  <pageSetup scale="3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9"/>
  <sheetViews>
    <sheetView zoomScale="77" zoomScaleNormal="77" workbookViewId="0">
      <pane xSplit="2" ySplit="4" topLeftCell="D5" activePane="bottomRight" state="frozen"/>
      <selection pane="topRight" activeCell="H42" sqref="H42"/>
      <selection pane="bottomLeft" activeCell="H42" sqref="H42"/>
      <selection pane="bottomRight" activeCell="A3" sqref="A3:B4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2.85546875" style="1" customWidth="1"/>
    <col min="17" max="17" width="1.42578125" style="1" customWidth="1"/>
    <col min="18" max="18" width="56.42578125" style="168" customWidth="1"/>
    <col min="19" max="16384" width="9.140625" style="1"/>
  </cols>
  <sheetData>
    <row r="1" spans="1:18" ht="28.5" x14ac:dyDescent="0.25">
      <c r="A1" s="4" t="s">
        <v>145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1, GNumber: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64"/>
    </row>
    <row r="2" spans="1:18" s="115" customFormat="1" ht="5.25" customHeight="1" x14ac:dyDescent="0.25">
      <c r="R2" s="165"/>
    </row>
    <row r="3" spans="1:18" ht="18.75" customHeight="1" x14ac:dyDescent="0.25">
      <c r="A3" s="357" t="s">
        <v>146</v>
      </c>
      <c r="B3" s="359"/>
      <c r="C3" s="391" t="s">
        <v>147</v>
      </c>
      <c r="D3" s="391" t="s">
        <v>148</v>
      </c>
      <c r="E3" s="391" t="s">
        <v>149</v>
      </c>
      <c r="F3" s="391" t="s">
        <v>150</v>
      </c>
      <c r="G3" s="391" t="s">
        <v>151</v>
      </c>
      <c r="H3" s="391" t="s">
        <v>152</v>
      </c>
      <c r="I3" s="391" t="s">
        <v>153</v>
      </c>
      <c r="J3" s="391" t="s">
        <v>154</v>
      </c>
      <c r="K3" s="391" t="s">
        <v>155</v>
      </c>
      <c r="L3" s="391" t="s">
        <v>156</v>
      </c>
      <c r="M3" s="391" t="s">
        <v>157</v>
      </c>
      <c r="N3" s="391" t="s">
        <v>158</v>
      </c>
      <c r="O3" s="391" t="s">
        <v>159</v>
      </c>
      <c r="P3" s="391" t="s">
        <v>44</v>
      </c>
      <c r="R3" s="166" t="s">
        <v>160</v>
      </c>
    </row>
    <row r="4" spans="1:18" ht="23.25" customHeight="1" x14ac:dyDescent="0.25">
      <c r="A4" s="363"/>
      <c r="B4" s="365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R4" s="167" t="s">
        <v>161</v>
      </c>
    </row>
    <row r="5" spans="1:18" ht="18.75" x14ac:dyDescent="0.25">
      <c r="A5" s="12" t="s">
        <v>162</v>
      </c>
      <c r="B5" s="2"/>
      <c r="C5" s="2"/>
      <c r="D5" s="112"/>
      <c r="E5" s="2"/>
      <c r="F5" s="2"/>
      <c r="G5" s="2"/>
      <c r="R5" s="168" t="s">
        <v>163</v>
      </c>
    </row>
    <row r="6" spans="1:18" x14ac:dyDescent="0.25">
      <c r="A6" s="8"/>
      <c r="B6" s="7" t="s">
        <v>128</v>
      </c>
      <c r="C6" s="45">
        <v>0</v>
      </c>
      <c r="D6" s="45">
        <f>'User Input Sheet'!E42+'User Input Sheet'!E45</f>
        <v>1082</v>
      </c>
      <c r="E6" s="45">
        <f>'User Input Sheet'!E42+'User Input Sheet'!E45</f>
        <v>1082</v>
      </c>
      <c r="F6" s="45">
        <f>'User Input Sheet'!E42+'User Input Sheet'!E45</f>
        <v>1082</v>
      </c>
      <c r="G6" s="45">
        <f>'User Input Sheet'!E42+'User Input Sheet'!E45</f>
        <v>1082</v>
      </c>
      <c r="H6" s="45">
        <f>'User Input Sheet'!E42+'User Input Sheet'!E45</f>
        <v>1082</v>
      </c>
      <c r="I6" s="45">
        <f>'User Input Sheet'!E42+'User Input Sheet'!E45</f>
        <v>1082</v>
      </c>
      <c r="J6" s="45">
        <f>'User Input Sheet'!E42+'User Input Sheet'!E45</f>
        <v>1082</v>
      </c>
      <c r="K6" s="45">
        <f>'User Input Sheet'!E42+'User Input Sheet'!E45</f>
        <v>1082</v>
      </c>
      <c r="L6" s="45">
        <f>'User Input Sheet'!E42+'User Input Sheet'!E45</f>
        <v>1082</v>
      </c>
      <c r="M6" s="45">
        <f>'User Input Sheet'!E42+'User Input Sheet'!E45</f>
        <v>1082</v>
      </c>
      <c r="N6" s="45">
        <f>'User Input Sheet'!E42+'User Input Sheet'!E45</f>
        <v>1082</v>
      </c>
      <c r="O6" s="45">
        <f>'User Input Sheet'!E42+'User Input Sheet'!E45</f>
        <v>1082</v>
      </c>
      <c r="P6" s="37">
        <f t="shared" ref="P6:P13" si="0">SUM(C6:O6)</f>
        <v>12984</v>
      </c>
      <c r="R6" s="169" t="s">
        <v>164</v>
      </c>
    </row>
    <row r="7" spans="1:18" x14ac:dyDescent="0.25">
      <c r="A7" s="8"/>
      <c r="B7" s="7" t="s">
        <v>165</v>
      </c>
      <c r="C7" s="45">
        <f>'User Input Sheet'!F36</f>
        <v>84.56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37">
        <f t="shared" si="0"/>
        <v>84.56</v>
      </c>
      <c r="R7" s="169" t="s">
        <v>166</v>
      </c>
    </row>
    <row r="8" spans="1:18" x14ac:dyDescent="0.25">
      <c r="A8" s="8"/>
      <c r="B8" s="7" t="s">
        <v>130</v>
      </c>
      <c r="C8" s="45">
        <f>'User Input Sheet'!F34</f>
        <v>1634.15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37">
        <f t="shared" si="0"/>
        <v>1634.15</v>
      </c>
      <c r="R8" s="169" t="s">
        <v>167</v>
      </c>
    </row>
    <row r="9" spans="1:18" x14ac:dyDescent="0.25">
      <c r="A9" s="8"/>
      <c r="B9" s="7" t="s">
        <v>168</v>
      </c>
      <c r="C9" s="45">
        <f>'User Input Sheet'!F30</f>
        <v>245.74</v>
      </c>
      <c r="D9" s="45">
        <f>'User Input Sheet'!E41</f>
        <v>786</v>
      </c>
      <c r="E9" s="45">
        <f>'User Input Sheet'!E41</f>
        <v>786</v>
      </c>
      <c r="F9" s="45">
        <f>'User Input Sheet'!E41</f>
        <v>786</v>
      </c>
      <c r="G9" s="45">
        <f>'User Input Sheet'!E41</f>
        <v>786</v>
      </c>
      <c r="H9" s="45">
        <f>'User Input Sheet'!E41</f>
        <v>786</v>
      </c>
      <c r="I9" s="45">
        <f>'User Input Sheet'!E41</f>
        <v>786</v>
      </c>
      <c r="J9" s="45">
        <f>'User Input Sheet'!E41</f>
        <v>786</v>
      </c>
      <c r="K9" s="45">
        <f>'User Input Sheet'!E41</f>
        <v>786</v>
      </c>
      <c r="L9" s="45">
        <f>'User Input Sheet'!E41</f>
        <v>786</v>
      </c>
      <c r="M9" s="45">
        <f>'User Input Sheet'!E41</f>
        <v>786</v>
      </c>
      <c r="N9" s="45">
        <f>'User Input Sheet'!E41</f>
        <v>786</v>
      </c>
      <c r="O9" s="45">
        <f>'User Input Sheet'!E41</f>
        <v>786</v>
      </c>
      <c r="P9" s="37">
        <f t="shared" si="0"/>
        <v>9677.74</v>
      </c>
      <c r="R9" s="169" t="s">
        <v>169</v>
      </c>
    </row>
    <row r="10" spans="1:18" x14ac:dyDescent="0.25">
      <c r="A10" s="8"/>
      <c r="B10" s="7" t="s">
        <v>129</v>
      </c>
      <c r="C10" s="45">
        <f>'User Input Sheet'!F31+'User Input Sheet'!F32</f>
        <v>563.45000000000005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37">
        <f t="shared" si="0"/>
        <v>563.45000000000005</v>
      </c>
      <c r="R10" s="169" t="s">
        <v>167</v>
      </c>
    </row>
    <row r="11" spans="1:18" x14ac:dyDescent="0.25">
      <c r="A11" s="8"/>
      <c r="B11" s="7" t="s">
        <v>170</v>
      </c>
      <c r="C11" s="45">
        <v>0</v>
      </c>
      <c r="D11" s="45">
        <f>'User Input Sheet'!E44</f>
        <v>156</v>
      </c>
      <c r="E11" s="45">
        <f>'User Input Sheet'!E44</f>
        <v>156</v>
      </c>
      <c r="F11" s="45">
        <f>'User Input Sheet'!E44</f>
        <v>156</v>
      </c>
      <c r="G11" s="45">
        <f>'User Input Sheet'!E44</f>
        <v>156</v>
      </c>
      <c r="H11" s="45">
        <f>'User Input Sheet'!E44</f>
        <v>156</v>
      </c>
      <c r="I11" s="45">
        <f>'User Input Sheet'!E44</f>
        <v>156</v>
      </c>
      <c r="J11" s="45">
        <f>'User Input Sheet'!E44</f>
        <v>156</v>
      </c>
      <c r="K11" s="45">
        <f>'User Input Sheet'!E44</f>
        <v>156</v>
      </c>
      <c r="L11" s="45">
        <f>'User Input Sheet'!E44</f>
        <v>156</v>
      </c>
      <c r="M11" s="45">
        <f>'User Input Sheet'!E44</f>
        <v>156</v>
      </c>
      <c r="N11" s="45">
        <f>'User Input Sheet'!E44</f>
        <v>156</v>
      </c>
      <c r="O11" s="45">
        <f>'User Input Sheet'!E44</f>
        <v>156</v>
      </c>
      <c r="P11" s="37">
        <f t="shared" si="0"/>
        <v>1872</v>
      </c>
      <c r="R11" s="169" t="s">
        <v>171</v>
      </c>
    </row>
    <row r="12" spans="1:18" x14ac:dyDescent="0.25">
      <c r="A12" s="8"/>
      <c r="B12" s="7" t="s">
        <v>172</v>
      </c>
      <c r="C12" s="45">
        <v>0</v>
      </c>
      <c r="D12" s="45">
        <f>'User Input Sheet'!E43</f>
        <v>79.069999999999993</v>
      </c>
      <c r="E12" s="45">
        <f>'User Input Sheet'!E43</f>
        <v>79.069999999999993</v>
      </c>
      <c r="F12" s="45">
        <f>'User Input Sheet'!E43</f>
        <v>79.069999999999993</v>
      </c>
      <c r="G12" s="45">
        <f>'User Input Sheet'!E43</f>
        <v>79.069999999999993</v>
      </c>
      <c r="H12" s="45">
        <f>'User Input Sheet'!E43</f>
        <v>79.069999999999993</v>
      </c>
      <c r="I12" s="45">
        <f>'User Input Sheet'!E43</f>
        <v>79.069999999999993</v>
      </c>
      <c r="J12" s="45">
        <f>'User Input Sheet'!E43</f>
        <v>79.069999999999993</v>
      </c>
      <c r="K12" s="45">
        <f>'User Input Sheet'!E43</f>
        <v>79.069999999999993</v>
      </c>
      <c r="L12" s="45">
        <f>'User Input Sheet'!E43</f>
        <v>79.069999999999993</v>
      </c>
      <c r="M12" s="45">
        <f>'User Input Sheet'!E43</f>
        <v>79.069999999999993</v>
      </c>
      <c r="N12" s="45">
        <f>'User Input Sheet'!E43</f>
        <v>79.069999999999993</v>
      </c>
      <c r="O12" s="45">
        <f>'User Input Sheet'!E43</f>
        <v>79.069999999999993</v>
      </c>
      <c r="P12" s="37">
        <f t="shared" si="0"/>
        <v>948.83999999999969</v>
      </c>
      <c r="R12" s="169" t="s">
        <v>173</v>
      </c>
    </row>
    <row r="13" spans="1:18" x14ac:dyDescent="0.25">
      <c r="A13" s="8"/>
      <c r="B13" s="7" t="s">
        <v>174</v>
      </c>
      <c r="C13" s="45">
        <f>'User Input Sheet'!F33+'User Input Sheet'!F35+'User Input Sheet'!F37</f>
        <v>716.91000000000008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37">
        <f t="shared" si="0"/>
        <v>716.91000000000008</v>
      </c>
      <c r="R13" s="169" t="s">
        <v>175</v>
      </c>
    </row>
    <row r="14" spans="1:18" x14ac:dyDescent="0.25">
      <c r="A14" s="57"/>
      <c r="B14" s="197" t="s">
        <v>176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37">
        <f t="shared" ref="P14" si="1">SUM(C14:O14)</f>
        <v>0</v>
      </c>
      <c r="R14" s="169"/>
    </row>
    <row r="15" spans="1:18" ht="15.75" thickBot="1" x14ac:dyDescent="0.3">
      <c r="A15" s="9"/>
      <c r="B15" s="15" t="s">
        <v>44</v>
      </c>
      <c r="C15" s="16">
        <f>SUM(C6:C14)</f>
        <v>3244.8100000000004</v>
      </c>
      <c r="D15" s="16">
        <f t="shared" ref="D15:P15" si="2">SUM(D6:D14)</f>
        <v>2103.0700000000002</v>
      </c>
      <c r="E15" s="16">
        <f t="shared" si="2"/>
        <v>2103.0700000000002</v>
      </c>
      <c r="F15" s="16">
        <f t="shared" si="2"/>
        <v>2103.0700000000002</v>
      </c>
      <c r="G15" s="16">
        <f t="shared" si="2"/>
        <v>2103.0700000000002</v>
      </c>
      <c r="H15" s="16">
        <f t="shared" si="2"/>
        <v>2103.0700000000002</v>
      </c>
      <c r="I15" s="16">
        <f t="shared" si="2"/>
        <v>2103.0700000000002</v>
      </c>
      <c r="J15" s="16">
        <f t="shared" si="2"/>
        <v>2103.0700000000002</v>
      </c>
      <c r="K15" s="16">
        <f t="shared" si="2"/>
        <v>2103.0700000000002</v>
      </c>
      <c r="L15" s="16">
        <f t="shared" si="2"/>
        <v>2103.0700000000002</v>
      </c>
      <c r="M15" s="16">
        <f t="shared" si="2"/>
        <v>2103.0700000000002</v>
      </c>
      <c r="N15" s="16">
        <f t="shared" si="2"/>
        <v>2103.0700000000002</v>
      </c>
      <c r="O15" s="16">
        <f t="shared" si="2"/>
        <v>2103.0700000000002</v>
      </c>
      <c r="P15" s="16">
        <f t="shared" si="2"/>
        <v>28481.649999999998</v>
      </c>
      <c r="R15" s="170"/>
    </row>
    <row r="16" spans="1:18" ht="6.75" customHeight="1" thickTop="1" x14ac:dyDescent="0.25"/>
    <row r="17" spans="1:18" ht="18.75" x14ac:dyDescent="0.25">
      <c r="A17" s="12" t="s">
        <v>177</v>
      </c>
      <c r="B17" s="2"/>
      <c r="C17" s="2"/>
      <c r="D17" s="2"/>
      <c r="E17" s="2"/>
      <c r="F17" s="2"/>
      <c r="G17" s="2"/>
      <c r="R17" s="168" t="s">
        <v>178</v>
      </c>
    </row>
    <row r="18" spans="1:18" ht="15" customHeight="1" x14ac:dyDescent="0.25">
      <c r="A18" s="8"/>
      <c r="B18" s="7" t="str">
        <f>B6</f>
        <v>Shelter</v>
      </c>
      <c r="C18" s="45"/>
      <c r="D18" s="45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37">
        <f t="shared" ref="P18:P25" si="3">SUM(C18:O18)</f>
        <v>0</v>
      </c>
      <c r="R18" s="188" t="s">
        <v>179</v>
      </c>
    </row>
    <row r="19" spans="1:18" ht="15" customHeight="1" x14ac:dyDescent="0.25">
      <c r="A19" s="8"/>
      <c r="B19" s="7" t="str">
        <f t="shared" ref="B19:B26" si="4">B7</f>
        <v>Utilities Installation</v>
      </c>
      <c r="C19" s="45">
        <f>'User Input Sheet'!G36</f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37">
        <f t="shared" si="3"/>
        <v>0</v>
      </c>
      <c r="R19" s="188"/>
    </row>
    <row r="20" spans="1:18" ht="16.5" x14ac:dyDescent="0.25">
      <c r="A20" s="8"/>
      <c r="B20" s="7" t="str">
        <f t="shared" si="4"/>
        <v>Furniture</v>
      </c>
      <c r="C20" s="45">
        <f>'User Input Sheet'!G34</f>
        <v>0</v>
      </c>
      <c r="D20" s="45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37">
        <f t="shared" si="3"/>
        <v>0</v>
      </c>
      <c r="R20" s="188" t="s">
        <v>179</v>
      </c>
    </row>
    <row r="21" spans="1:18" x14ac:dyDescent="0.25">
      <c r="A21" s="8"/>
      <c r="B21" s="7" t="str">
        <f t="shared" si="4"/>
        <v>Food (Included as part of Basic Needs)</v>
      </c>
      <c r="C21" s="45">
        <f>'User Input Sheet'!G30</f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37">
        <f t="shared" si="3"/>
        <v>0</v>
      </c>
      <c r="R21" s="188"/>
    </row>
    <row r="22" spans="1:18" ht="16.5" x14ac:dyDescent="0.25">
      <c r="A22" s="8"/>
      <c r="B22" s="7" t="str">
        <f t="shared" si="4"/>
        <v>Clothing</v>
      </c>
      <c r="C22" s="45">
        <f>'User Input Sheet'!G31+'User Input Sheet'!G32</f>
        <v>0</v>
      </c>
      <c r="D22" s="45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37">
        <f t="shared" si="3"/>
        <v>0</v>
      </c>
      <c r="R22" s="188" t="s">
        <v>179</v>
      </c>
    </row>
    <row r="23" spans="1:18" x14ac:dyDescent="0.25">
      <c r="A23" s="57"/>
      <c r="B23" s="7" t="str">
        <f t="shared" si="4"/>
        <v>Transportation</v>
      </c>
      <c r="C23" s="45"/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37">
        <f t="shared" si="3"/>
        <v>0</v>
      </c>
      <c r="R23" s="171"/>
    </row>
    <row r="24" spans="1:18" x14ac:dyDescent="0.25">
      <c r="A24" s="57"/>
      <c r="B24" s="7" t="str">
        <f t="shared" si="4"/>
        <v>Communication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37">
        <f t="shared" si="3"/>
        <v>0</v>
      </c>
      <c r="R24" s="171"/>
    </row>
    <row r="25" spans="1:18" x14ac:dyDescent="0.25">
      <c r="A25" s="57"/>
      <c r="B25" s="7" t="str">
        <f t="shared" si="4"/>
        <v>Incidentals  (Included as part of Basic Needs)</v>
      </c>
      <c r="C25" s="45">
        <f>'User Input Sheet'!G33+'User Input Sheet'!G35</f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37">
        <f t="shared" si="3"/>
        <v>0</v>
      </c>
      <c r="R25" s="171"/>
    </row>
    <row r="26" spans="1:18" x14ac:dyDescent="0.25">
      <c r="A26" s="57"/>
      <c r="B26" s="7" t="str">
        <f t="shared" si="4"/>
        <v>Medical Expenses (not covered by OHIP or IFHP)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37">
        <f t="shared" ref="P26" si="5">SUM(C26:O26)</f>
        <v>0</v>
      </c>
      <c r="R26" s="171"/>
    </row>
    <row r="27" spans="1:18" ht="15.75" thickBot="1" x14ac:dyDescent="0.3">
      <c r="A27" s="9"/>
      <c r="B27" s="15" t="s">
        <v>44</v>
      </c>
      <c r="C27" s="16">
        <f>SUM(C18:C26)</f>
        <v>0</v>
      </c>
      <c r="D27" s="16">
        <f t="shared" ref="D27:P27" si="6">SUM(D18:D26)</f>
        <v>0</v>
      </c>
      <c r="E27" s="16">
        <f t="shared" si="6"/>
        <v>0</v>
      </c>
      <c r="F27" s="16">
        <f t="shared" si="6"/>
        <v>0</v>
      </c>
      <c r="G27" s="16">
        <f t="shared" si="6"/>
        <v>0</v>
      </c>
      <c r="H27" s="16">
        <f t="shared" si="6"/>
        <v>0</v>
      </c>
      <c r="I27" s="16">
        <f t="shared" si="6"/>
        <v>0</v>
      </c>
      <c r="J27" s="16">
        <f t="shared" si="6"/>
        <v>0</v>
      </c>
      <c r="K27" s="16">
        <f t="shared" si="6"/>
        <v>0</v>
      </c>
      <c r="L27" s="16">
        <f t="shared" si="6"/>
        <v>0</v>
      </c>
      <c r="M27" s="16">
        <f t="shared" si="6"/>
        <v>0</v>
      </c>
      <c r="N27" s="16">
        <f t="shared" si="6"/>
        <v>0</v>
      </c>
      <c r="O27" s="16">
        <f t="shared" si="6"/>
        <v>0</v>
      </c>
      <c r="P27" s="16">
        <f t="shared" si="6"/>
        <v>0</v>
      </c>
      <c r="R27" s="172"/>
    </row>
    <row r="28" spans="1:18" ht="7.5" customHeight="1" thickTop="1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8" ht="18.75" x14ac:dyDescent="0.25">
      <c r="A29" s="12" t="s">
        <v>180</v>
      </c>
      <c r="B29" s="2"/>
      <c r="C29" s="2"/>
      <c r="D29" s="2"/>
      <c r="E29" s="2"/>
      <c r="F29" s="2"/>
      <c r="G29" s="2"/>
    </row>
    <row r="30" spans="1:18" x14ac:dyDescent="0.25">
      <c r="A30" s="8"/>
      <c r="B30" s="7" t="str">
        <f>B6</f>
        <v>Shelter</v>
      </c>
      <c r="C30" s="20">
        <f t="shared" ref="C30:O30" si="7">C6-C18</f>
        <v>0</v>
      </c>
      <c r="D30" s="20">
        <f t="shared" si="7"/>
        <v>1082</v>
      </c>
      <c r="E30" s="20">
        <f t="shared" si="7"/>
        <v>1082</v>
      </c>
      <c r="F30" s="20">
        <f t="shared" si="7"/>
        <v>1082</v>
      </c>
      <c r="G30" s="20">
        <f t="shared" si="7"/>
        <v>1082</v>
      </c>
      <c r="H30" s="20">
        <f t="shared" si="7"/>
        <v>1082</v>
      </c>
      <c r="I30" s="20">
        <f t="shared" si="7"/>
        <v>1082</v>
      </c>
      <c r="J30" s="20">
        <f t="shared" si="7"/>
        <v>1082</v>
      </c>
      <c r="K30" s="20">
        <f t="shared" si="7"/>
        <v>1082</v>
      </c>
      <c r="L30" s="20">
        <f t="shared" si="7"/>
        <v>1082</v>
      </c>
      <c r="M30" s="20">
        <f t="shared" si="7"/>
        <v>1082</v>
      </c>
      <c r="N30" s="20">
        <f t="shared" si="7"/>
        <v>1082</v>
      </c>
      <c r="O30" s="20">
        <f t="shared" si="7"/>
        <v>1082</v>
      </c>
      <c r="P30" s="37">
        <f t="shared" ref="P30" si="8">SUM(C30:O30)</f>
        <v>12984</v>
      </c>
      <c r="R30" s="169"/>
    </row>
    <row r="31" spans="1:18" x14ac:dyDescent="0.25">
      <c r="A31" s="8"/>
      <c r="B31" s="7" t="str">
        <f t="shared" ref="B31:B38" si="9">B7</f>
        <v>Utilities Installation</v>
      </c>
      <c r="C31" s="20">
        <f t="shared" ref="C31:O31" si="10">C7-C19</f>
        <v>84.56</v>
      </c>
      <c r="D31" s="20">
        <f t="shared" si="10"/>
        <v>0</v>
      </c>
      <c r="E31" s="20">
        <f t="shared" si="10"/>
        <v>0</v>
      </c>
      <c r="F31" s="20">
        <f t="shared" si="10"/>
        <v>0</v>
      </c>
      <c r="G31" s="20">
        <f t="shared" si="10"/>
        <v>0</v>
      </c>
      <c r="H31" s="20">
        <f t="shared" si="10"/>
        <v>0</v>
      </c>
      <c r="I31" s="20">
        <f t="shared" si="10"/>
        <v>0</v>
      </c>
      <c r="J31" s="20">
        <f t="shared" si="10"/>
        <v>0</v>
      </c>
      <c r="K31" s="20">
        <f t="shared" si="10"/>
        <v>0</v>
      </c>
      <c r="L31" s="20">
        <f t="shared" si="10"/>
        <v>0</v>
      </c>
      <c r="M31" s="20">
        <f t="shared" si="10"/>
        <v>0</v>
      </c>
      <c r="N31" s="20">
        <f t="shared" si="10"/>
        <v>0</v>
      </c>
      <c r="O31" s="20">
        <f t="shared" si="10"/>
        <v>0</v>
      </c>
      <c r="P31" s="37">
        <f t="shared" ref="P31:P37" si="11">SUM(C31:O31)</f>
        <v>84.56</v>
      </c>
      <c r="R31" s="169"/>
    </row>
    <row r="32" spans="1:18" x14ac:dyDescent="0.25">
      <c r="A32" s="8"/>
      <c r="B32" s="7" t="str">
        <f t="shared" si="9"/>
        <v>Furniture</v>
      </c>
      <c r="C32" s="20">
        <f t="shared" ref="C32:O32" si="12">C8-C20</f>
        <v>1634.15</v>
      </c>
      <c r="D32" s="20">
        <f t="shared" si="12"/>
        <v>0</v>
      </c>
      <c r="E32" s="20">
        <f t="shared" si="12"/>
        <v>0</v>
      </c>
      <c r="F32" s="20">
        <f t="shared" si="12"/>
        <v>0</v>
      </c>
      <c r="G32" s="20">
        <f t="shared" si="12"/>
        <v>0</v>
      </c>
      <c r="H32" s="20">
        <f t="shared" si="12"/>
        <v>0</v>
      </c>
      <c r="I32" s="20">
        <f t="shared" si="12"/>
        <v>0</v>
      </c>
      <c r="J32" s="20">
        <f t="shared" si="12"/>
        <v>0</v>
      </c>
      <c r="K32" s="20">
        <f t="shared" si="12"/>
        <v>0</v>
      </c>
      <c r="L32" s="20">
        <f t="shared" si="12"/>
        <v>0</v>
      </c>
      <c r="M32" s="20">
        <f t="shared" si="12"/>
        <v>0</v>
      </c>
      <c r="N32" s="20">
        <f t="shared" si="12"/>
        <v>0</v>
      </c>
      <c r="O32" s="20">
        <f t="shared" si="12"/>
        <v>0</v>
      </c>
      <c r="P32" s="37">
        <f t="shared" si="11"/>
        <v>1634.15</v>
      </c>
      <c r="R32" s="169"/>
    </row>
    <row r="33" spans="1:18" x14ac:dyDescent="0.25">
      <c r="A33" s="8"/>
      <c r="B33" s="7" t="str">
        <f t="shared" si="9"/>
        <v>Food (Included as part of Basic Needs)</v>
      </c>
      <c r="C33" s="20">
        <f t="shared" ref="C33:O33" si="13">C9-C21</f>
        <v>245.74</v>
      </c>
      <c r="D33" s="20">
        <f t="shared" si="13"/>
        <v>786</v>
      </c>
      <c r="E33" s="20">
        <f t="shared" si="13"/>
        <v>786</v>
      </c>
      <c r="F33" s="20">
        <f t="shared" si="13"/>
        <v>786</v>
      </c>
      <c r="G33" s="20">
        <f t="shared" si="13"/>
        <v>786</v>
      </c>
      <c r="H33" s="20">
        <f t="shared" si="13"/>
        <v>786</v>
      </c>
      <c r="I33" s="20">
        <f t="shared" si="13"/>
        <v>786</v>
      </c>
      <c r="J33" s="20">
        <f t="shared" si="13"/>
        <v>786</v>
      </c>
      <c r="K33" s="20">
        <f t="shared" si="13"/>
        <v>786</v>
      </c>
      <c r="L33" s="20">
        <f t="shared" si="13"/>
        <v>786</v>
      </c>
      <c r="M33" s="20">
        <f t="shared" si="13"/>
        <v>786</v>
      </c>
      <c r="N33" s="20">
        <f t="shared" si="13"/>
        <v>786</v>
      </c>
      <c r="O33" s="20">
        <f t="shared" si="13"/>
        <v>786</v>
      </c>
      <c r="P33" s="37">
        <f t="shared" si="11"/>
        <v>9677.74</v>
      </c>
      <c r="R33" s="169"/>
    </row>
    <row r="34" spans="1:18" x14ac:dyDescent="0.25">
      <c r="A34" s="8"/>
      <c r="B34" s="7" t="str">
        <f t="shared" si="9"/>
        <v>Clothing</v>
      </c>
      <c r="C34" s="20">
        <f t="shared" ref="C34:O34" si="14">C10-C22</f>
        <v>563.45000000000005</v>
      </c>
      <c r="D34" s="20">
        <f t="shared" si="14"/>
        <v>0</v>
      </c>
      <c r="E34" s="20">
        <f t="shared" si="14"/>
        <v>0</v>
      </c>
      <c r="F34" s="20">
        <f t="shared" si="14"/>
        <v>0</v>
      </c>
      <c r="G34" s="20">
        <f t="shared" si="14"/>
        <v>0</v>
      </c>
      <c r="H34" s="20">
        <f t="shared" si="14"/>
        <v>0</v>
      </c>
      <c r="I34" s="20">
        <f t="shared" si="14"/>
        <v>0</v>
      </c>
      <c r="J34" s="20">
        <f t="shared" si="14"/>
        <v>0</v>
      </c>
      <c r="K34" s="20">
        <f t="shared" si="14"/>
        <v>0</v>
      </c>
      <c r="L34" s="20">
        <f t="shared" si="14"/>
        <v>0</v>
      </c>
      <c r="M34" s="20">
        <f t="shared" si="14"/>
        <v>0</v>
      </c>
      <c r="N34" s="20">
        <f t="shared" si="14"/>
        <v>0</v>
      </c>
      <c r="O34" s="20">
        <f t="shared" si="14"/>
        <v>0</v>
      </c>
      <c r="P34" s="37">
        <f t="shared" si="11"/>
        <v>563.45000000000005</v>
      </c>
      <c r="R34" s="169"/>
    </row>
    <row r="35" spans="1:18" x14ac:dyDescent="0.25">
      <c r="A35" s="8"/>
      <c r="B35" s="7" t="str">
        <f t="shared" si="9"/>
        <v>Transportation</v>
      </c>
      <c r="C35" s="20">
        <f t="shared" ref="C35:O35" si="15">C11-C23</f>
        <v>0</v>
      </c>
      <c r="D35" s="20">
        <f t="shared" si="15"/>
        <v>156</v>
      </c>
      <c r="E35" s="20">
        <f t="shared" si="15"/>
        <v>156</v>
      </c>
      <c r="F35" s="20">
        <f t="shared" si="15"/>
        <v>156</v>
      </c>
      <c r="G35" s="20">
        <f t="shared" si="15"/>
        <v>156</v>
      </c>
      <c r="H35" s="20">
        <f t="shared" si="15"/>
        <v>156</v>
      </c>
      <c r="I35" s="20">
        <f t="shared" si="15"/>
        <v>156</v>
      </c>
      <c r="J35" s="20">
        <f t="shared" si="15"/>
        <v>156</v>
      </c>
      <c r="K35" s="20">
        <f t="shared" si="15"/>
        <v>156</v>
      </c>
      <c r="L35" s="20">
        <f t="shared" si="15"/>
        <v>156</v>
      </c>
      <c r="M35" s="20">
        <f t="shared" si="15"/>
        <v>156</v>
      </c>
      <c r="N35" s="20">
        <f t="shared" si="15"/>
        <v>156</v>
      </c>
      <c r="O35" s="20">
        <f t="shared" si="15"/>
        <v>156</v>
      </c>
      <c r="P35" s="37">
        <f t="shared" si="11"/>
        <v>1872</v>
      </c>
      <c r="R35" s="169"/>
    </row>
    <row r="36" spans="1:18" x14ac:dyDescent="0.25">
      <c r="A36" s="8"/>
      <c r="B36" s="7" t="str">
        <f t="shared" si="9"/>
        <v>Communication</v>
      </c>
      <c r="C36" s="20">
        <f t="shared" ref="C36:O36" si="16">C12-C24</f>
        <v>0</v>
      </c>
      <c r="D36" s="20">
        <f t="shared" si="16"/>
        <v>79.069999999999993</v>
      </c>
      <c r="E36" s="20">
        <f t="shared" si="16"/>
        <v>79.069999999999993</v>
      </c>
      <c r="F36" s="20">
        <f t="shared" si="16"/>
        <v>79.069999999999993</v>
      </c>
      <c r="G36" s="20">
        <f t="shared" si="16"/>
        <v>79.069999999999993</v>
      </c>
      <c r="H36" s="20">
        <f t="shared" si="16"/>
        <v>79.069999999999993</v>
      </c>
      <c r="I36" s="20">
        <f t="shared" si="16"/>
        <v>79.069999999999993</v>
      </c>
      <c r="J36" s="20">
        <f t="shared" si="16"/>
        <v>79.069999999999993</v>
      </c>
      <c r="K36" s="20">
        <f t="shared" si="16"/>
        <v>79.069999999999993</v>
      </c>
      <c r="L36" s="20">
        <f t="shared" si="16"/>
        <v>79.069999999999993</v>
      </c>
      <c r="M36" s="20">
        <f t="shared" si="16"/>
        <v>79.069999999999993</v>
      </c>
      <c r="N36" s="20">
        <f t="shared" si="16"/>
        <v>79.069999999999993</v>
      </c>
      <c r="O36" s="20">
        <f t="shared" si="16"/>
        <v>79.069999999999993</v>
      </c>
      <c r="P36" s="37">
        <f t="shared" si="11"/>
        <v>948.83999999999969</v>
      </c>
      <c r="R36" s="169"/>
    </row>
    <row r="37" spans="1:18" x14ac:dyDescent="0.25">
      <c r="A37" s="8"/>
      <c r="B37" s="7" t="str">
        <f t="shared" si="9"/>
        <v>Incidentals  (Included as part of Basic Needs)</v>
      </c>
      <c r="C37" s="20">
        <f t="shared" ref="C37:O37" si="17">C13-C25</f>
        <v>716.91000000000008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20">
        <f t="shared" si="17"/>
        <v>0</v>
      </c>
      <c r="I37" s="20">
        <f t="shared" si="17"/>
        <v>0</v>
      </c>
      <c r="J37" s="20">
        <f t="shared" si="17"/>
        <v>0</v>
      </c>
      <c r="K37" s="20">
        <f t="shared" si="17"/>
        <v>0</v>
      </c>
      <c r="L37" s="20">
        <f t="shared" si="17"/>
        <v>0</v>
      </c>
      <c r="M37" s="20">
        <f t="shared" si="17"/>
        <v>0</v>
      </c>
      <c r="N37" s="20">
        <f t="shared" si="17"/>
        <v>0</v>
      </c>
      <c r="O37" s="20">
        <f t="shared" si="17"/>
        <v>0</v>
      </c>
      <c r="P37" s="37">
        <f t="shared" si="11"/>
        <v>716.91000000000008</v>
      </c>
      <c r="R37" s="169"/>
    </row>
    <row r="38" spans="1:18" x14ac:dyDescent="0.25">
      <c r="A38" s="57"/>
      <c r="B38" s="7" t="str">
        <f t="shared" si="9"/>
        <v>Medical Expenses (not covered by OHIP or IFHP)</v>
      </c>
      <c r="C38" s="20">
        <f t="shared" ref="C38:O38" si="18">C14-C26</f>
        <v>0</v>
      </c>
      <c r="D38" s="20">
        <f t="shared" si="18"/>
        <v>0</v>
      </c>
      <c r="E38" s="20">
        <f t="shared" si="18"/>
        <v>0</v>
      </c>
      <c r="F38" s="20">
        <f t="shared" si="18"/>
        <v>0</v>
      </c>
      <c r="G38" s="20">
        <f t="shared" si="18"/>
        <v>0</v>
      </c>
      <c r="H38" s="20">
        <f t="shared" si="18"/>
        <v>0</v>
      </c>
      <c r="I38" s="20">
        <f t="shared" si="18"/>
        <v>0</v>
      </c>
      <c r="J38" s="20">
        <f t="shared" si="18"/>
        <v>0</v>
      </c>
      <c r="K38" s="20">
        <f t="shared" si="18"/>
        <v>0</v>
      </c>
      <c r="L38" s="20">
        <f t="shared" si="18"/>
        <v>0</v>
      </c>
      <c r="M38" s="20">
        <f t="shared" si="18"/>
        <v>0</v>
      </c>
      <c r="N38" s="20">
        <f t="shared" si="18"/>
        <v>0</v>
      </c>
      <c r="O38" s="20">
        <f t="shared" si="18"/>
        <v>0</v>
      </c>
      <c r="P38" s="37">
        <f t="shared" ref="P38" si="19">SUM(C38:O38)</f>
        <v>0</v>
      </c>
      <c r="R38" s="169"/>
    </row>
    <row r="39" spans="1:18" ht="15.75" thickBot="1" x14ac:dyDescent="0.3">
      <c r="A39" s="9"/>
      <c r="B39" s="15" t="s">
        <v>44</v>
      </c>
      <c r="C39" s="16">
        <f>SUM(C30:C38)</f>
        <v>3244.8100000000004</v>
      </c>
      <c r="D39" s="16">
        <f t="shared" ref="D39:P39" si="20">SUM(D30:D38)</f>
        <v>2103.0700000000002</v>
      </c>
      <c r="E39" s="16">
        <f t="shared" si="20"/>
        <v>2103.0700000000002</v>
      </c>
      <c r="F39" s="16">
        <f t="shared" si="20"/>
        <v>2103.0700000000002</v>
      </c>
      <c r="G39" s="16">
        <f t="shared" si="20"/>
        <v>2103.0700000000002</v>
      </c>
      <c r="H39" s="16">
        <f t="shared" si="20"/>
        <v>2103.0700000000002</v>
      </c>
      <c r="I39" s="16">
        <f t="shared" si="20"/>
        <v>2103.0700000000002</v>
      </c>
      <c r="J39" s="16">
        <f t="shared" si="20"/>
        <v>2103.0700000000002</v>
      </c>
      <c r="K39" s="16">
        <f t="shared" si="20"/>
        <v>2103.0700000000002</v>
      </c>
      <c r="L39" s="16">
        <f t="shared" si="20"/>
        <v>2103.0700000000002</v>
      </c>
      <c r="M39" s="16">
        <f t="shared" si="20"/>
        <v>2103.0700000000002</v>
      </c>
      <c r="N39" s="16">
        <f t="shared" si="20"/>
        <v>2103.0700000000002</v>
      </c>
      <c r="O39" s="16">
        <f t="shared" si="20"/>
        <v>2103.0700000000002</v>
      </c>
      <c r="P39" s="16">
        <f t="shared" si="20"/>
        <v>28481.649999999998</v>
      </c>
      <c r="R39" s="170"/>
    </row>
    <row r="40" spans="1:18" ht="6" customHeight="1" thickTop="1" x14ac:dyDescent="0.25"/>
    <row r="41" spans="1:18" ht="18.75" x14ac:dyDescent="0.25">
      <c r="A41" s="12" t="s">
        <v>181</v>
      </c>
      <c r="R41" s="169"/>
    </row>
    <row r="42" spans="1:18" ht="18.75" x14ac:dyDescent="0.25">
      <c r="A42" s="12"/>
      <c r="B42" s="159" t="s">
        <v>182</v>
      </c>
      <c r="C42" s="20">
        <f>'User Input Sheet'!C17</f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37">
        <f>SUM(C42:O42)</f>
        <v>0</v>
      </c>
      <c r="R42" s="169"/>
    </row>
    <row r="43" spans="1:18" ht="18.75" x14ac:dyDescent="0.25">
      <c r="A43" s="12"/>
      <c r="B43" s="158" t="s">
        <v>183</v>
      </c>
      <c r="C43" s="20">
        <f>'User Input Sheet'!C18</f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37">
        <f>SUM(C43:O43)</f>
        <v>0</v>
      </c>
      <c r="R43" s="169"/>
    </row>
    <row r="44" spans="1:18" ht="18.75" x14ac:dyDescent="0.25">
      <c r="A44" s="12" t="s">
        <v>184</v>
      </c>
      <c r="R44" s="169"/>
    </row>
    <row r="45" spans="1:18" x14ac:dyDescent="0.25">
      <c r="B45" s="159" t="s">
        <v>185</v>
      </c>
      <c r="C45" s="216"/>
      <c r="D45" s="216">
        <v>0</v>
      </c>
      <c r="E45" s="216">
        <v>0</v>
      </c>
      <c r="F45" s="216">
        <v>0</v>
      </c>
      <c r="G45" s="216">
        <v>0</v>
      </c>
      <c r="H45" s="216">
        <v>0</v>
      </c>
      <c r="I45" s="216">
        <v>0</v>
      </c>
      <c r="J45" s="216">
        <v>0</v>
      </c>
      <c r="K45" s="216">
        <v>0</v>
      </c>
      <c r="L45" s="216">
        <v>0</v>
      </c>
      <c r="M45" s="216">
        <v>0</v>
      </c>
      <c r="N45" s="216">
        <v>0</v>
      </c>
      <c r="O45" s="216">
        <v>0</v>
      </c>
      <c r="P45" s="37">
        <f>SUM(C45:O45)</f>
        <v>0</v>
      </c>
      <c r="R45" s="169"/>
    </row>
    <row r="46" spans="1:18" x14ac:dyDescent="0.25">
      <c r="B46" s="159" t="s">
        <v>186</v>
      </c>
      <c r="C46" s="193">
        <v>0</v>
      </c>
      <c r="D46" s="193">
        <v>0</v>
      </c>
      <c r="E46" s="193">
        <v>0</v>
      </c>
      <c r="F46" s="193">
        <v>0</v>
      </c>
      <c r="G46" s="193">
        <v>0</v>
      </c>
      <c r="H46" s="193">
        <v>0</v>
      </c>
      <c r="I46" s="193">
        <v>0</v>
      </c>
      <c r="J46" s="193">
        <v>0</v>
      </c>
      <c r="K46" s="193">
        <v>0</v>
      </c>
      <c r="L46" s="193">
        <v>0</v>
      </c>
      <c r="M46" s="193">
        <v>0</v>
      </c>
      <c r="N46" s="193">
        <v>0</v>
      </c>
      <c r="O46" s="193">
        <v>0</v>
      </c>
      <c r="P46" s="17">
        <f>SUM(C46:O46)</f>
        <v>0</v>
      </c>
      <c r="R46" s="170"/>
    </row>
    <row r="47" spans="1:18" ht="15.75" thickBot="1" x14ac:dyDescent="0.3">
      <c r="A47" s="162"/>
      <c r="B47" s="163" t="s">
        <v>187</v>
      </c>
      <c r="C47" s="19">
        <f>C46+C43</f>
        <v>0</v>
      </c>
      <c r="D47" s="19">
        <f t="shared" ref="D47:O47" si="21">D46+D43</f>
        <v>0</v>
      </c>
      <c r="E47" s="19">
        <f t="shared" si="21"/>
        <v>0</v>
      </c>
      <c r="F47" s="19">
        <f t="shared" si="21"/>
        <v>0</v>
      </c>
      <c r="G47" s="19">
        <f t="shared" si="21"/>
        <v>0</v>
      </c>
      <c r="H47" s="19">
        <f t="shared" si="21"/>
        <v>0</v>
      </c>
      <c r="I47" s="19">
        <f t="shared" si="21"/>
        <v>0</v>
      </c>
      <c r="J47" s="19">
        <f t="shared" si="21"/>
        <v>0</v>
      </c>
      <c r="K47" s="19">
        <f t="shared" si="21"/>
        <v>0</v>
      </c>
      <c r="L47" s="19">
        <f t="shared" si="21"/>
        <v>0</v>
      </c>
      <c r="M47" s="19">
        <f t="shared" si="21"/>
        <v>0</v>
      </c>
      <c r="N47" s="19">
        <f t="shared" si="21"/>
        <v>0</v>
      </c>
      <c r="O47" s="19">
        <f t="shared" si="21"/>
        <v>0</v>
      </c>
      <c r="P47" s="19">
        <f>SUM(C47:O47)</f>
        <v>0</v>
      </c>
      <c r="R47" s="169"/>
    </row>
    <row r="48" spans="1:18" ht="6" customHeight="1" thickTop="1" x14ac:dyDescent="0.25">
      <c r="B48" s="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4"/>
      <c r="R48" s="169"/>
    </row>
    <row r="49" spans="1:18" ht="15.75" thickBot="1" x14ac:dyDescent="0.3">
      <c r="A49" s="11" t="s">
        <v>188</v>
      </c>
      <c r="B49" s="11"/>
      <c r="C49" s="19">
        <f>C47-C39</f>
        <v>-3244.8100000000004</v>
      </c>
      <c r="D49" s="19">
        <f t="shared" ref="D49:O49" si="22">D47-D39</f>
        <v>-2103.0700000000002</v>
      </c>
      <c r="E49" s="19">
        <f t="shared" si="22"/>
        <v>-2103.0700000000002</v>
      </c>
      <c r="F49" s="19">
        <f t="shared" si="22"/>
        <v>-2103.0700000000002</v>
      </c>
      <c r="G49" s="19">
        <f t="shared" si="22"/>
        <v>-2103.0700000000002</v>
      </c>
      <c r="H49" s="19">
        <f t="shared" si="22"/>
        <v>-2103.0700000000002</v>
      </c>
      <c r="I49" s="19">
        <f t="shared" si="22"/>
        <v>-2103.0700000000002</v>
      </c>
      <c r="J49" s="19">
        <f t="shared" si="22"/>
        <v>-2103.0700000000002</v>
      </c>
      <c r="K49" s="19">
        <f t="shared" si="22"/>
        <v>-2103.0700000000002</v>
      </c>
      <c r="L49" s="19">
        <f t="shared" si="22"/>
        <v>-2103.0700000000002</v>
      </c>
      <c r="M49" s="19">
        <f t="shared" si="22"/>
        <v>-2103.0700000000002</v>
      </c>
      <c r="N49" s="19">
        <f t="shared" si="22"/>
        <v>-2103.0700000000002</v>
      </c>
      <c r="O49" s="19">
        <f t="shared" si="22"/>
        <v>-2103.0700000000002</v>
      </c>
      <c r="P49" s="19">
        <f>SUM(C49:O49)</f>
        <v>-28481.649999999998</v>
      </c>
    </row>
    <row r="50" spans="1:18" ht="16.5" thickTop="1" thickBot="1" x14ac:dyDescent="0.3">
      <c r="A50" s="44" t="s">
        <v>189</v>
      </c>
      <c r="B50" s="44"/>
      <c r="C50" s="175">
        <f>C49</f>
        <v>-3244.8100000000004</v>
      </c>
      <c r="D50" s="175">
        <f>C50+D49</f>
        <v>-5347.880000000001</v>
      </c>
      <c r="E50" s="175">
        <f t="shared" ref="E50:O50" si="23">D50+E49</f>
        <v>-7450.9500000000007</v>
      </c>
      <c r="F50" s="175">
        <f t="shared" si="23"/>
        <v>-9554.02</v>
      </c>
      <c r="G50" s="175">
        <f t="shared" si="23"/>
        <v>-11657.09</v>
      </c>
      <c r="H50" s="175">
        <f t="shared" si="23"/>
        <v>-13760.16</v>
      </c>
      <c r="I50" s="175">
        <f t="shared" si="23"/>
        <v>-15863.23</v>
      </c>
      <c r="J50" s="175">
        <f t="shared" si="23"/>
        <v>-17966.3</v>
      </c>
      <c r="K50" s="175">
        <f t="shared" si="23"/>
        <v>-20069.37</v>
      </c>
      <c r="L50" s="175">
        <f t="shared" si="23"/>
        <v>-22172.44</v>
      </c>
      <c r="M50" s="175">
        <f t="shared" si="23"/>
        <v>-24275.51</v>
      </c>
      <c r="N50" s="175">
        <f t="shared" si="23"/>
        <v>-26378.579999999998</v>
      </c>
      <c r="O50" s="175">
        <f t="shared" si="23"/>
        <v>-28481.649999999998</v>
      </c>
      <c r="P50" s="175"/>
    </row>
    <row r="51" spans="1:18" ht="15.75" thickTop="1" x14ac:dyDescent="0.25">
      <c r="A51" s="2" t="s">
        <v>190</v>
      </c>
      <c r="B51" s="2"/>
    </row>
    <row r="52" spans="1:18" x14ac:dyDescent="0.25">
      <c r="A52" s="2"/>
      <c r="B52" s="2" t="s">
        <v>191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37">
        <f>SUM(C52:O52)</f>
        <v>0</v>
      </c>
      <c r="R52" s="173" t="s">
        <v>192</v>
      </c>
    </row>
    <row r="53" spans="1:18" x14ac:dyDescent="0.25">
      <c r="A53" s="2"/>
      <c r="B53" s="2" t="s">
        <v>193</v>
      </c>
      <c r="C53" s="46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37">
        <f>SUM(C53:O53)</f>
        <v>0</v>
      </c>
      <c r="R53" s="173" t="s">
        <v>192</v>
      </c>
    </row>
    <row r="54" spans="1:18" x14ac:dyDescent="0.25">
      <c r="A54" s="2"/>
      <c r="B54" s="2" t="s">
        <v>194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37">
        <f>SUM(C54:O54)</f>
        <v>0</v>
      </c>
      <c r="R54" s="173"/>
    </row>
    <row r="55" spans="1:18" ht="16.5" x14ac:dyDescent="0.25">
      <c r="A55" s="35" t="s">
        <v>195</v>
      </c>
      <c r="B55" s="36"/>
      <c r="C55" s="38" t="str">
        <f>IF(C52+C53+C54+C49=0,"Balanced","Not Balanced")</f>
        <v>Not Balanced</v>
      </c>
      <c r="D55" s="38" t="str">
        <f t="shared" ref="D55:P55" si="24">IF(D52+D53+D54+D49=0,"Balanced","Not Balanced")</f>
        <v>Not Balanced</v>
      </c>
      <c r="E55" s="38" t="str">
        <f t="shared" si="24"/>
        <v>Not Balanced</v>
      </c>
      <c r="F55" s="38" t="str">
        <f t="shared" si="24"/>
        <v>Not Balanced</v>
      </c>
      <c r="G55" s="38" t="str">
        <f t="shared" si="24"/>
        <v>Not Balanced</v>
      </c>
      <c r="H55" s="38" t="str">
        <f t="shared" si="24"/>
        <v>Not Balanced</v>
      </c>
      <c r="I55" s="38" t="str">
        <f t="shared" si="24"/>
        <v>Not Balanced</v>
      </c>
      <c r="J55" s="38" t="str">
        <f t="shared" si="24"/>
        <v>Not Balanced</v>
      </c>
      <c r="K55" s="38" t="str">
        <f t="shared" si="24"/>
        <v>Not Balanced</v>
      </c>
      <c r="L55" s="38" t="str">
        <f t="shared" si="24"/>
        <v>Not Balanced</v>
      </c>
      <c r="M55" s="38" t="str">
        <f t="shared" si="24"/>
        <v>Not Balanced</v>
      </c>
      <c r="N55" s="38" t="str">
        <f t="shared" si="24"/>
        <v>Not Balanced</v>
      </c>
      <c r="O55" s="38" t="str">
        <f t="shared" si="24"/>
        <v>Not Balanced</v>
      </c>
      <c r="P55" s="38" t="str">
        <f t="shared" si="24"/>
        <v>Not Balanced</v>
      </c>
      <c r="R55" s="174" t="s">
        <v>196</v>
      </c>
    </row>
    <row r="56" spans="1:18" ht="8.25" customHeight="1" x14ac:dyDescent="0.25"/>
    <row r="57" spans="1:18" ht="29.25" customHeight="1" x14ac:dyDescent="0.25">
      <c r="A57" s="12" t="s">
        <v>197</v>
      </c>
      <c r="R57" s="174" t="s">
        <v>198</v>
      </c>
    </row>
    <row r="58" spans="1:18" x14ac:dyDescent="0.25">
      <c r="B58" s="1" t="s">
        <v>199</v>
      </c>
      <c r="C58" s="194">
        <v>0</v>
      </c>
      <c r="D58" s="194">
        <v>0</v>
      </c>
      <c r="E58" s="194">
        <v>0</v>
      </c>
      <c r="F58" s="194">
        <v>0</v>
      </c>
      <c r="G58" s="194">
        <v>0</v>
      </c>
      <c r="H58" s="194">
        <v>0</v>
      </c>
      <c r="I58" s="194">
        <v>0</v>
      </c>
      <c r="J58" s="194">
        <v>0</v>
      </c>
      <c r="K58" s="194">
        <v>0</v>
      </c>
      <c r="L58" s="194">
        <v>0</v>
      </c>
      <c r="M58" s="194">
        <v>0</v>
      </c>
      <c r="N58" s="194">
        <v>0</v>
      </c>
      <c r="O58" s="194">
        <v>0</v>
      </c>
      <c r="P58" s="37">
        <f>SUM(C58:O58)</f>
        <v>0</v>
      </c>
    </row>
    <row r="59" spans="1:18" x14ac:dyDescent="0.25">
      <c r="B59" s="1" t="s">
        <v>200</v>
      </c>
      <c r="C59" s="194">
        <v>0</v>
      </c>
      <c r="D59" s="194">
        <v>0</v>
      </c>
      <c r="E59" s="194">
        <v>0</v>
      </c>
      <c r="F59" s="194">
        <v>0</v>
      </c>
      <c r="G59" s="194">
        <v>0</v>
      </c>
      <c r="H59" s="194">
        <v>0</v>
      </c>
      <c r="I59" s="194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0</v>
      </c>
      <c r="O59" s="194">
        <v>0</v>
      </c>
      <c r="P59" s="37">
        <f t="shared" ref="P59:P65" si="25">SUM(C59:O59)</f>
        <v>0</v>
      </c>
    </row>
    <row r="60" spans="1:18" x14ac:dyDescent="0.25">
      <c r="B60" s="1" t="s">
        <v>201</v>
      </c>
      <c r="C60" s="194">
        <v>0</v>
      </c>
      <c r="D60" s="194">
        <v>0</v>
      </c>
      <c r="E60" s="194">
        <v>0</v>
      </c>
      <c r="F60" s="194">
        <v>0</v>
      </c>
      <c r="G60" s="194">
        <v>0</v>
      </c>
      <c r="H60" s="194">
        <v>0</v>
      </c>
      <c r="I60" s="194">
        <v>0</v>
      </c>
      <c r="J60" s="194">
        <v>0</v>
      </c>
      <c r="K60" s="194">
        <v>0</v>
      </c>
      <c r="L60" s="194">
        <v>0</v>
      </c>
      <c r="M60" s="194">
        <v>0</v>
      </c>
      <c r="N60" s="194">
        <v>0</v>
      </c>
      <c r="O60" s="194">
        <v>0</v>
      </c>
      <c r="P60" s="37">
        <f t="shared" si="25"/>
        <v>0</v>
      </c>
    </row>
    <row r="61" spans="1:18" x14ac:dyDescent="0.25">
      <c r="B61" s="1" t="s">
        <v>202</v>
      </c>
      <c r="C61" s="194">
        <v>0</v>
      </c>
      <c r="D61" s="194">
        <v>0</v>
      </c>
      <c r="E61" s="194">
        <v>0</v>
      </c>
      <c r="F61" s="194">
        <v>0</v>
      </c>
      <c r="G61" s="194">
        <v>0</v>
      </c>
      <c r="H61" s="194">
        <v>0</v>
      </c>
      <c r="I61" s="194">
        <v>0</v>
      </c>
      <c r="J61" s="194">
        <v>0</v>
      </c>
      <c r="K61" s="194">
        <v>0</v>
      </c>
      <c r="L61" s="194">
        <v>0</v>
      </c>
      <c r="M61" s="194">
        <v>0</v>
      </c>
      <c r="N61" s="194">
        <v>0</v>
      </c>
      <c r="O61" s="194">
        <v>0</v>
      </c>
      <c r="P61" s="37">
        <f t="shared" si="25"/>
        <v>0</v>
      </c>
    </row>
    <row r="62" spans="1:18" x14ac:dyDescent="0.25">
      <c r="B62" s="1" t="s">
        <v>203</v>
      </c>
      <c r="C62" s="194">
        <v>0</v>
      </c>
      <c r="D62" s="194">
        <v>0</v>
      </c>
      <c r="E62" s="194">
        <v>0</v>
      </c>
      <c r="F62" s="194">
        <v>0</v>
      </c>
      <c r="G62" s="194">
        <v>0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37">
        <f t="shared" si="25"/>
        <v>0</v>
      </c>
    </row>
    <row r="63" spans="1:18" x14ac:dyDescent="0.25">
      <c r="B63" s="1" t="s">
        <v>204</v>
      </c>
      <c r="C63" s="194">
        <v>0</v>
      </c>
      <c r="D63" s="194">
        <v>0</v>
      </c>
      <c r="E63" s="194">
        <v>0</v>
      </c>
      <c r="F63" s="194">
        <v>0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37">
        <f t="shared" si="25"/>
        <v>0</v>
      </c>
    </row>
    <row r="64" spans="1:18" x14ac:dyDescent="0.25">
      <c r="B64" s="1" t="s">
        <v>205</v>
      </c>
      <c r="C64" s="194">
        <v>0</v>
      </c>
      <c r="D64" s="194">
        <v>0</v>
      </c>
      <c r="E64" s="194">
        <v>0</v>
      </c>
      <c r="F64" s="194">
        <v>0</v>
      </c>
      <c r="G64" s="194">
        <v>0</v>
      </c>
      <c r="H64" s="194">
        <v>0</v>
      </c>
      <c r="I64" s="194">
        <v>0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37">
        <f t="shared" si="25"/>
        <v>0</v>
      </c>
    </row>
    <row r="65" spans="1:16" x14ac:dyDescent="0.25">
      <c r="B65" s="1" t="s">
        <v>206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5">
        <v>0</v>
      </c>
      <c r="N65" s="195">
        <v>0</v>
      </c>
      <c r="O65" s="195">
        <v>0</v>
      </c>
      <c r="P65" s="17">
        <f t="shared" si="25"/>
        <v>0</v>
      </c>
    </row>
    <row r="66" spans="1:16" ht="15.75" thickBot="1" x14ac:dyDescent="0.3">
      <c r="B66" s="11" t="s">
        <v>207</v>
      </c>
      <c r="C66" s="19">
        <f>SUM(C58:C65)</f>
        <v>0</v>
      </c>
      <c r="D66" s="19">
        <f t="shared" ref="D66:P66" si="26">SUM(D58:D65)</f>
        <v>0</v>
      </c>
      <c r="E66" s="19">
        <f t="shared" si="26"/>
        <v>0</v>
      </c>
      <c r="F66" s="19">
        <f t="shared" si="26"/>
        <v>0</v>
      </c>
      <c r="G66" s="19">
        <f t="shared" si="26"/>
        <v>0</v>
      </c>
      <c r="H66" s="19">
        <f t="shared" si="26"/>
        <v>0</v>
      </c>
      <c r="I66" s="19">
        <f t="shared" si="26"/>
        <v>0</v>
      </c>
      <c r="J66" s="19">
        <f t="shared" si="26"/>
        <v>0</v>
      </c>
      <c r="K66" s="19">
        <f t="shared" si="26"/>
        <v>0</v>
      </c>
      <c r="L66" s="19">
        <f t="shared" si="26"/>
        <v>0</v>
      </c>
      <c r="M66" s="19">
        <f t="shared" si="26"/>
        <v>0</v>
      </c>
      <c r="N66" s="19">
        <f t="shared" si="26"/>
        <v>0</v>
      </c>
      <c r="O66" s="19">
        <f t="shared" si="26"/>
        <v>0</v>
      </c>
      <c r="P66" s="19">
        <f t="shared" si="26"/>
        <v>0</v>
      </c>
    </row>
    <row r="67" spans="1:16" ht="16.5" thickTop="1" thickBot="1" x14ac:dyDescent="0.3">
      <c r="B67" s="44" t="s">
        <v>208</v>
      </c>
      <c r="C67" s="175">
        <f>C27+C47+C52+C53+C66</f>
        <v>0</v>
      </c>
      <c r="D67" s="175">
        <f t="shared" ref="D67:P67" si="27">D27+D47+D52+D53+D66</f>
        <v>0</v>
      </c>
      <c r="E67" s="175">
        <f t="shared" si="27"/>
        <v>0</v>
      </c>
      <c r="F67" s="175">
        <f t="shared" si="27"/>
        <v>0</v>
      </c>
      <c r="G67" s="175">
        <f t="shared" si="27"/>
        <v>0</v>
      </c>
      <c r="H67" s="175">
        <f t="shared" si="27"/>
        <v>0</v>
      </c>
      <c r="I67" s="175">
        <f t="shared" si="27"/>
        <v>0</v>
      </c>
      <c r="J67" s="175">
        <f t="shared" si="27"/>
        <v>0</v>
      </c>
      <c r="K67" s="175">
        <f t="shared" si="27"/>
        <v>0</v>
      </c>
      <c r="L67" s="175">
        <f t="shared" si="27"/>
        <v>0</v>
      </c>
      <c r="M67" s="175">
        <f t="shared" si="27"/>
        <v>0</v>
      </c>
      <c r="N67" s="175">
        <f t="shared" si="27"/>
        <v>0</v>
      </c>
      <c r="O67" s="175">
        <f t="shared" si="27"/>
        <v>0</v>
      </c>
      <c r="P67" s="175">
        <f t="shared" si="27"/>
        <v>0</v>
      </c>
    </row>
    <row r="68" spans="1:16" ht="16.5" thickTop="1" thickBot="1" x14ac:dyDescent="0.3">
      <c r="A68" s="11" t="s">
        <v>209</v>
      </c>
      <c r="B68" s="11"/>
      <c r="C68" s="175">
        <f>C15-C67</f>
        <v>3244.8100000000004</v>
      </c>
      <c r="D68" s="175">
        <f t="shared" ref="D68:P68" si="28">D15-D67</f>
        <v>2103.0700000000002</v>
      </c>
      <c r="E68" s="175">
        <f t="shared" si="28"/>
        <v>2103.0700000000002</v>
      </c>
      <c r="F68" s="175">
        <f t="shared" si="28"/>
        <v>2103.0700000000002</v>
      </c>
      <c r="G68" s="175">
        <f t="shared" si="28"/>
        <v>2103.0700000000002</v>
      </c>
      <c r="H68" s="175">
        <f t="shared" si="28"/>
        <v>2103.0700000000002</v>
      </c>
      <c r="I68" s="175">
        <f t="shared" si="28"/>
        <v>2103.0700000000002</v>
      </c>
      <c r="J68" s="175">
        <f t="shared" si="28"/>
        <v>2103.0700000000002</v>
      </c>
      <c r="K68" s="175">
        <f t="shared" si="28"/>
        <v>2103.0700000000002</v>
      </c>
      <c r="L68" s="175">
        <f t="shared" si="28"/>
        <v>2103.0700000000002</v>
      </c>
      <c r="M68" s="175">
        <f t="shared" si="28"/>
        <v>2103.0700000000002</v>
      </c>
      <c r="N68" s="175">
        <f t="shared" si="28"/>
        <v>2103.0700000000002</v>
      </c>
      <c r="O68" s="175">
        <f t="shared" si="28"/>
        <v>2103.0700000000002</v>
      </c>
      <c r="P68" s="175">
        <f t="shared" si="28"/>
        <v>28481.649999999998</v>
      </c>
    </row>
    <row r="69" spans="1:16" ht="15.75" thickTop="1" x14ac:dyDescent="0.25"/>
  </sheetData>
  <sheetProtection algorithmName="SHA-512" hashValue="oz+/1cgrVNpwiYB61M0bfq3z3/96gnNYYtRfRmakDyNQVzHg4ljDBqv1cda9V+S3/VNr/g7bvUH5wbG5cfLNXQ==" saltValue="yjlNSaeSU3KoTfd0Siwcbw==" spinCount="100000" sheet="1" objects="1" scenarios="1"/>
  <mergeCells count="15">
    <mergeCell ref="A3:B4"/>
    <mergeCell ref="C3:C4"/>
    <mergeCell ref="E3:E4"/>
    <mergeCell ref="F3:F4"/>
    <mergeCell ref="G3:G4"/>
    <mergeCell ref="D3:D4"/>
    <mergeCell ref="H3:H4"/>
    <mergeCell ref="O3:O4"/>
    <mergeCell ref="P3:P4"/>
    <mergeCell ref="I3:I4"/>
    <mergeCell ref="J3:J4"/>
    <mergeCell ref="K3:K4"/>
    <mergeCell ref="L3:L4"/>
    <mergeCell ref="M3:M4"/>
    <mergeCell ref="N3:N4"/>
  </mergeCells>
  <printOptions gridLines="1"/>
  <pageMargins left="0.25" right="0.25" top="0.75" bottom="0.75" header="0.3" footer="0.3"/>
  <pageSetup paperSize="5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5"/>
  <sheetViews>
    <sheetView zoomScale="78" zoomScaleNormal="78" workbookViewId="0">
      <pane xSplit="2" ySplit="4" topLeftCell="C5" activePane="bottomRight" state="frozen"/>
      <selection pane="topRight" activeCell="H42" sqref="H42"/>
      <selection pane="bottomLeft" activeCell="H42" sqref="H42"/>
      <selection pane="bottomRight" activeCell="B1" sqref="B1"/>
    </sheetView>
  </sheetViews>
  <sheetFormatPr defaultColWidth="9.140625" defaultRowHeight="15" x14ac:dyDescent="0.25"/>
  <cols>
    <col min="1" max="1" width="1.42578125" style="1" customWidth="1"/>
    <col min="2" max="2" width="65" style="1" customWidth="1"/>
    <col min="3" max="15" width="12.7109375" style="1" customWidth="1"/>
    <col min="16" max="16" width="11.5703125" style="1" customWidth="1"/>
    <col min="17" max="17" width="1.42578125" style="1" customWidth="1"/>
    <col min="18" max="18" width="70.42578125" style="154" customWidth="1"/>
    <col min="19" max="16384" width="9.140625" style="1"/>
  </cols>
  <sheetData>
    <row r="1" spans="1:18" ht="28.5" x14ac:dyDescent="0.25">
      <c r="A1" s="4" t="s">
        <v>210</v>
      </c>
      <c r="B1" s="5"/>
      <c r="C1" s="53" t="str">
        <f>CONCATENATE("Resettlement Group Name: ",'User Input Sheet'!C4,";  ","Principal Applicant Name: ",'User Input Sheet'!C5,"; ","Family Size: ",'User Input Sheet'!C7,", ","GNumber:","",'User Input Sheet'!C6)</f>
        <v>Resettlement Group Name: ;  Principal Applicant Name: ; Family Size: 1, GNumber: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80"/>
    </row>
    <row r="2" spans="1:18" ht="3.75" customHeight="1" x14ac:dyDescent="0.25"/>
    <row r="3" spans="1:18" ht="18.75" customHeight="1" x14ac:dyDescent="0.25">
      <c r="A3" s="357" t="s">
        <v>211</v>
      </c>
      <c r="B3" s="359"/>
      <c r="C3" s="393" t="s">
        <v>147</v>
      </c>
      <c r="D3" s="54" t="s">
        <v>148</v>
      </c>
      <c r="E3" s="48" t="s">
        <v>149</v>
      </c>
      <c r="F3" s="48" t="s">
        <v>150</v>
      </c>
      <c r="G3" s="48" t="s">
        <v>151</v>
      </c>
      <c r="H3" s="48" t="s">
        <v>152</v>
      </c>
      <c r="I3" s="48" t="s">
        <v>153</v>
      </c>
      <c r="J3" s="48" t="s">
        <v>154</v>
      </c>
      <c r="K3" s="48" t="s">
        <v>155</v>
      </c>
      <c r="L3" s="48" t="s">
        <v>156</v>
      </c>
      <c r="M3" s="48" t="s">
        <v>157</v>
      </c>
      <c r="N3" s="48" t="s">
        <v>158</v>
      </c>
      <c r="O3" s="48" t="s">
        <v>159</v>
      </c>
      <c r="P3" s="48" t="s">
        <v>44</v>
      </c>
      <c r="R3" s="181" t="s">
        <v>160</v>
      </c>
    </row>
    <row r="4" spans="1:18" ht="23.25" customHeight="1" x14ac:dyDescent="0.25">
      <c r="A4" s="363"/>
      <c r="B4" s="365"/>
      <c r="C4" s="394"/>
      <c r="D4" s="55">
        <f>IF('User Input Sheet'!$C$14&gt;0, 'User Input Sheet'!C14, "")</f>
        <v>44166</v>
      </c>
      <c r="E4" s="55">
        <f>IF('User Input Sheet'!$C$14&gt;0, 'User Input Sheet'!U14, "")</f>
        <v>44197</v>
      </c>
      <c r="F4" s="55">
        <f>IF('User Input Sheet'!$C$14&gt;0, 'User Input Sheet'!V14, "")</f>
        <v>44228</v>
      </c>
      <c r="G4" s="55">
        <f>IF('User Input Sheet'!$C$14&gt;0, 'User Input Sheet'!W14, "")</f>
        <v>44256</v>
      </c>
      <c r="H4" s="55">
        <f>IF('User Input Sheet'!$C$14&gt;0, 'User Input Sheet'!X14, "")</f>
        <v>44287</v>
      </c>
      <c r="I4" s="55">
        <f>IF('User Input Sheet'!$C$14&gt;0, 'User Input Sheet'!Y14, "")</f>
        <v>44317</v>
      </c>
      <c r="J4" s="55">
        <f>IF('User Input Sheet'!$C$14&gt;0, 'User Input Sheet'!Z14, "")</f>
        <v>44348</v>
      </c>
      <c r="K4" s="55">
        <f>IF('User Input Sheet'!$C$14&gt;0, 'User Input Sheet'!AA14, "")</f>
        <v>44378</v>
      </c>
      <c r="L4" s="55">
        <f>IF('User Input Sheet'!$C$14&gt;0, 'User Input Sheet'!AB14, "")</f>
        <v>44409</v>
      </c>
      <c r="M4" s="55">
        <f>IF('User Input Sheet'!$C$14&gt;0, 'User Input Sheet'!AC14, "")</f>
        <v>44440</v>
      </c>
      <c r="N4" s="55">
        <f>IF('User Input Sheet'!$C$14&gt;0, 'User Input Sheet'!AD14, "")</f>
        <v>44470</v>
      </c>
      <c r="O4" s="55">
        <f>IF('User Input Sheet'!$C$14&gt;0, 'User Input Sheet'!AE14, "")</f>
        <v>44501</v>
      </c>
      <c r="P4" s="49"/>
      <c r="R4" s="182" t="s">
        <v>161</v>
      </c>
    </row>
    <row r="5" spans="1:18" ht="18.75" x14ac:dyDescent="0.25">
      <c r="A5" s="12" t="s">
        <v>162</v>
      </c>
      <c r="B5" s="2"/>
      <c r="C5" s="2"/>
      <c r="D5" s="2"/>
      <c r="E5" s="2"/>
      <c r="F5" s="2"/>
      <c r="G5" s="2"/>
      <c r="R5" s="154" t="s">
        <v>212</v>
      </c>
    </row>
    <row r="6" spans="1:18" x14ac:dyDescent="0.25">
      <c r="A6" s="8"/>
      <c r="B6" s="7" t="s">
        <v>128</v>
      </c>
      <c r="C6" s="45">
        <v>0</v>
      </c>
      <c r="D6" s="45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37">
        <f t="shared" ref="P6:P13" si="0">SUM(C6:O6)</f>
        <v>0</v>
      </c>
      <c r="R6" s="183" t="str">
        <f>IF(Budget!R6&gt;0,Budget!R6,"")</f>
        <v>Should include rent and utilities</v>
      </c>
    </row>
    <row r="7" spans="1:18" x14ac:dyDescent="0.25">
      <c r="A7" s="8"/>
      <c r="B7" s="7" t="s">
        <v>165</v>
      </c>
      <c r="C7" s="45">
        <v>0</v>
      </c>
      <c r="D7" s="45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37">
        <f t="shared" si="0"/>
        <v>0</v>
      </c>
      <c r="R7" s="183" t="str">
        <f>IF(Budget!R7&gt;0,Budget!R7,"")</f>
        <v>Hook-up costs (rent, deposit, telephone, utilities, etc.)</v>
      </c>
    </row>
    <row r="8" spans="1:18" x14ac:dyDescent="0.25">
      <c r="A8" s="8"/>
      <c r="B8" s="7" t="s">
        <v>130</v>
      </c>
      <c r="C8" s="45">
        <v>0</v>
      </c>
      <c r="D8" s="45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37">
        <f t="shared" si="0"/>
        <v>0</v>
      </c>
      <c r="R8" s="183" t="str">
        <f>IF(Budget!R8&gt;0,Budget!R8,"")</f>
        <v>Consider in-kind donations or purchasing used items</v>
      </c>
    </row>
    <row r="9" spans="1:18" x14ac:dyDescent="0.25">
      <c r="A9" s="8"/>
      <c r="B9" s="7" t="s">
        <v>168</v>
      </c>
      <c r="C9" s="45">
        <v>0</v>
      </c>
      <c r="D9" s="45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37">
        <f t="shared" si="0"/>
        <v>0</v>
      </c>
      <c r="R9" s="183" t="str">
        <f>IF(Budget!R9&gt;0,Budget!R9,"")</f>
        <v>Encourage Newcomer to shop at value supermarkets (e.g., No Frills)</v>
      </c>
    </row>
    <row r="10" spans="1:18" x14ac:dyDescent="0.25">
      <c r="A10" s="8"/>
      <c r="B10" s="7" t="s">
        <v>129</v>
      </c>
      <c r="C10" s="45">
        <v>0</v>
      </c>
      <c r="D10" s="45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37">
        <f t="shared" si="0"/>
        <v>0</v>
      </c>
      <c r="R10" s="183" t="str">
        <f>IF(Budget!R10&gt;0,Budget!R10,"")</f>
        <v>Consider in-kind donations or purchasing used items</v>
      </c>
    </row>
    <row r="11" spans="1:18" x14ac:dyDescent="0.25">
      <c r="A11" s="8"/>
      <c r="B11" s="7" t="s">
        <v>170</v>
      </c>
      <c r="C11" s="45">
        <v>0</v>
      </c>
      <c r="D11" s="45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37">
        <f t="shared" si="0"/>
        <v>0</v>
      </c>
      <c r="R11" s="183" t="str">
        <f>IF(Budget!R11&gt;0,Budget!R11,"")</f>
        <v>Cost of local monthly public transit for adults only (e.g., Metro Pass)</v>
      </c>
    </row>
    <row r="12" spans="1:18" x14ac:dyDescent="0.25">
      <c r="A12" s="8"/>
      <c r="B12" s="7" t="s">
        <v>172</v>
      </c>
      <c r="C12" s="45">
        <v>0</v>
      </c>
      <c r="D12" s="45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37">
        <f t="shared" si="0"/>
        <v>0</v>
      </c>
      <c r="R12" s="183" t="str">
        <f>IF(Budget!R12&gt;0,Budget!R12,"")</f>
        <v>May include such things as cell phone and internet</v>
      </c>
    </row>
    <row r="13" spans="1:18" x14ac:dyDescent="0.25">
      <c r="A13" s="8"/>
      <c r="B13" s="7" t="s">
        <v>174</v>
      </c>
      <c r="C13" s="45">
        <v>0</v>
      </c>
      <c r="D13" s="45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37">
        <f t="shared" si="0"/>
        <v>0</v>
      </c>
      <c r="R13" s="183" t="str">
        <f>IF(Budget!R13&gt;0,Budget!R13,"")</f>
        <v>Include all other expenses not captured in above categories (e.g., medicine)</v>
      </c>
    </row>
    <row r="14" spans="1:18" x14ac:dyDescent="0.25">
      <c r="A14" s="57"/>
      <c r="B14" s="197" t="s">
        <v>176</v>
      </c>
      <c r="C14" s="45">
        <v>0</v>
      </c>
      <c r="D14" s="45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37">
        <f t="shared" ref="P14" si="1">SUM(C14:O14)</f>
        <v>0</v>
      </c>
      <c r="R14" s="183"/>
    </row>
    <row r="15" spans="1:18" ht="15.75" thickBot="1" x14ac:dyDescent="0.3">
      <c r="A15" s="9"/>
      <c r="B15" s="15" t="s">
        <v>44</v>
      </c>
      <c r="C15" s="16">
        <f>SUM(C6:C14)</f>
        <v>0</v>
      </c>
      <c r="D15" s="16">
        <f t="shared" ref="D15:P15" si="2">SUM(D6:D14)</f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16">
        <f t="shared" si="2"/>
        <v>0</v>
      </c>
      <c r="R15" s="183" t="str">
        <f>IF(Budget!R15&gt;0,Budget!R15,"")</f>
        <v/>
      </c>
    </row>
    <row r="16" spans="1:18" ht="8.25" customHeight="1" thickTop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R16" s="183" t="str">
        <f>IF(Budget!R16&gt;0,Budget!R16,"")</f>
        <v/>
      </c>
    </row>
    <row r="17" spans="1:18" ht="18.75" x14ac:dyDescent="0.25">
      <c r="A17" s="12" t="s">
        <v>177</v>
      </c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R17" s="183" t="str">
        <f>IF(Budget!R17&gt;0,Budget!R17,"")</f>
        <v>Enter estimated value of in-kind donations as positive values</v>
      </c>
    </row>
    <row r="18" spans="1:18" ht="22.5" x14ac:dyDescent="0.25">
      <c r="A18" s="8"/>
      <c r="B18" s="7" t="str">
        <f>B6</f>
        <v>Shelter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37">
        <f t="shared" ref="P18:P19" si="3">SUM(C18:O18)</f>
        <v>0</v>
      </c>
      <c r="R18" s="183" t="str">
        <f>IF(Budget!R18&gt;0,Budget!R18,"")</f>
        <v>This can be provided to the newcomer in cash or in-kind.  Use cost of new item as value of in-kind support.</v>
      </c>
    </row>
    <row r="19" spans="1:18" x14ac:dyDescent="0.25">
      <c r="A19" s="8"/>
      <c r="B19" s="7" t="str">
        <f t="shared" ref="B19:B26" si="4">B7</f>
        <v>Utilities Installation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37">
        <f t="shared" si="3"/>
        <v>0</v>
      </c>
      <c r="R19" s="183" t="str">
        <f>IF(Budget!R19&gt;0,Budget!R19,"")</f>
        <v/>
      </c>
    </row>
    <row r="20" spans="1:18" ht="22.5" x14ac:dyDescent="0.25">
      <c r="A20" s="8"/>
      <c r="B20" s="7" t="str">
        <f t="shared" si="4"/>
        <v>Furniture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37">
        <f t="shared" ref="P20:P25" si="5">SUM(C20:O20)</f>
        <v>0</v>
      </c>
      <c r="R20" s="183" t="str">
        <f>IF(Budget!R20&gt;0,Budget!R20,"")</f>
        <v>This can be provided to the newcomer in cash or in-kind.  Use cost of new item as value of in-kind support.</v>
      </c>
    </row>
    <row r="21" spans="1:18" x14ac:dyDescent="0.25">
      <c r="A21" s="8"/>
      <c r="B21" s="7" t="str">
        <f t="shared" si="4"/>
        <v>Food (Included as part of Basic Needs)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37">
        <f t="shared" si="5"/>
        <v>0</v>
      </c>
      <c r="R21" s="183" t="str">
        <f>IF(Budget!R21&gt;0,Budget!R21,"")</f>
        <v/>
      </c>
    </row>
    <row r="22" spans="1:18" ht="22.5" x14ac:dyDescent="0.25">
      <c r="A22" s="8"/>
      <c r="B22" s="7" t="str">
        <f t="shared" si="4"/>
        <v>Clothing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37">
        <f t="shared" si="5"/>
        <v>0</v>
      </c>
      <c r="R22" s="183" t="str">
        <f>IF(Budget!R22&gt;0,Budget!R22,"")</f>
        <v>This can be provided to the newcomer in cash or in-kind.  Use cost of new item as value of in-kind support.</v>
      </c>
    </row>
    <row r="23" spans="1:18" x14ac:dyDescent="0.25">
      <c r="A23" s="57"/>
      <c r="B23" s="7" t="str">
        <f t="shared" si="4"/>
        <v>Transportation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37">
        <f t="shared" si="5"/>
        <v>0</v>
      </c>
      <c r="R23" s="183" t="str">
        <f>IF(Budget!R23&gt;0,Budget!R23,"")</f>
        <v/>
      </c>
    </row>
    <row r="24" spans="1:18" x14ac:dyDescent="0.25">
      <c r="A24" s="57"/>
      <c r="B24" s="7" t="str">
        <f t="shared" si="4"/>
        <v>Communication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37">
        <f t="shared" si="5"/>
        <v>0</v>
      </c>
      <c r="R24" s="183" t="str">
        <f>IF(Budget!R24&gt;0,Budget!R24,"")</f>
        <v/>
      </c>
    </row>
    <row r="25" spans="1:18" x14ac:dyDescent="0.25">
      <c r="A25" s="57"/>
      <c r="B25" s="7" t="str">
        <f t="shared" si="4"/>
        <v>Incidentals  (Included as part of Basic Needs)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37">
        <f t="shared" si="5"/>
        <v>0</v>
      </c>
      <c r="R25" s="183" t="str">
        <f>IF(Budget!R25&gt;0,Budget!R25,"")</f>
        <v/>
      </c>
    </row>
    <row r="26" spans="1:18" x14ac:dyDescent="0.25">
      <c r="A26" s="57"/>
      <c r="B26" s="7" t="str">
        <f t="shared" si="4"/>
        <v>Medical Expenses (not covered by OHIP or IFHP)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37">
        <f t="shared" ref="P26" si="6">SUM(C26:O26)</f>
        <v>0</v>
      </c>
      <c r="R26" s="183"/>
    </row>
    <row r="27" spans="1:18" ht="15.75" thickBot="1" x14ac:dyDescent="0.3">
      <c r="A27" s="9"/>
      <c r="B27" s="15" t="s">
        <v>44</v>
      </c>
      <c r="C27" s="19">
        <f>SUM(C18:C26)</f>
        <v>0</v>
      </c>
      <c r="D27" s="19">
        <f t="shared" ref="D27:P27" si="7">SUM(D18:D26)</f>
        <v>0</v>
      </c>
      <c r="E27" s="19">
        <f t="shared" si="7"/>
        <v>0</v>
      </c>
      <c r="F27" s="19">
        <f t="shared" si="7"/>
        <v>0</v>
      </c>
      <c r="G27" s="19">
        <f t="shared" si="7"/>
        <v>0</v>
      </c>
      <c r="H27" s="19">
        <f t="shared" si="7"/>
        <v>0</v>
      </c>
      <c r="I27" s="19">
        <f t="shared" si="7"/>
        <v>0</v>
      </c>
      <c r="J27" s="19">
        <f t="shared" si="7"/>
        <v>0</v>
      </c>
      <c r="K27" s="19">
        <f t="shared" si="7"/>
        <v>0</v>
      </c>
      <c r="L27" s="19">
        <f t="shared" si="7"/>
        <v>0</v>
      </c>
      <c r="M27" s="19">
        <f t="shared" si="7"/>
        <v>0</v>
      </c>
      <c r="N27" s="19">
        <f t="shared" si="7"/>
        <v>0</v>
      </c>
      <c r="O27" s="19">
        <f t="shared" si="7"/>
        <v>0</v>
      </c>
      <c r="P27" s="19">
        <f t="shared" si="7"/>
        <v>0</v>
      </c>
      <c r="R27" s="183" t="str">
        <f>IF(Budget!R27&gt;0,Budget!R27,"")</f>
        <v/>
      </c>
    </row>
    <row r="28" spans="1:18" ht="15.75" thickTop="1" x14ac:dyDescent="0.25">
      <c r="R28" s="183" t="str">
        <f>IF(Budget!R28&gt;0,Budget!R28,"")</f>
        <v/>
      </c>
    </row>
    <row r="29" spans="1:18" ht="18.75" x14ac:dyDescent="0.25">
      <c r="A29" s="12" t="s">
        <v>180</v>
      </c>
      <c r="B29" s="2"/>
      <c r="R29" s="183" t="str">
        <f>IF(Budget!R29&gt;0,Budget!R29,"")</f>
        <v/>
      </c>
    </row>
    <row r="30" spans="1:18" x14ac:dyDescent="0.25">
      <c r="A30" s="8"/>
      <c r="B30" s="7" t="str">
        <f>B6</f>
        <v>Shelter</v>
      </c>
      <c r="C30" s="176">
        <f t="shared" ref="C30:O30" si="8">C6-C18</f>
        <v>0</v>
      </c>
      <c r="D30" s="176">
        <f t="shared" si="8"/>
        <v>0</v>
      </c>
      <c r="E30" s="176">
        <f t="shared" si="8"/>
        <v>0</v>
      </c>
      <c r="F30" s="176">
        <f t="shared" si="8"/>
        <v>0</v>
      </c>
      <c r="G30" s="176">
        <f t="shared" si="8"/>
        <v>0</v>
      </c>
      <c r="H30" s="176">
        <f t="shared" si="8"/>
        <v>0</v>
      </c>
      <c r="I30" s="176">
        <f t="shared" si="8"/>
        <v>0</v>
      </c>
      <c r="J30" s="176">
        <f t="shared" si="8"/>
        <v>0</v>
      </c>
      <c r="K30" s="176">
        <f t="shared" si="8"/>
        <v>0</v>
      </c>
      <c r="L30" s="176">
        <f t="shared" si="8"/>
        <v>0</v>
      </c>
      <c r="M30" s="176">
        <f t="shared" si="8"/>
        <v>0</v>
      </c>
      <c r="N30" s="176">
        <f t="shared" si="8"/>
        <v>0</v>
      </c>
      <c r="O30" s="176">
        <f t="shared" si="8"/>
        <v>0</v>
      </c>
      <c r="P30" s="37">
        <f t="shared" ref="P30:P37" si="9">SUM(C30:O30)</f>
        <v>0</v>
      </c>
      <c r="R30" s="183" t="str">
        <f>IF(Budget!R30&gt;0,Budget!R30,"")</f>
        <v/>
      </c>
    </row>
    <row r="31" spans="1:18" x14ac:dyDescent="0.25">
      <c r="A31" s="8"/>
      <c r="B31" s="7" t="str">
        <f t="shared" ref="B31:B38" si="10">B7</f>
        <v>Utilities Installation</v>
      </c>
      <c r="C31" s="176">
        <f t="shared" ref="C31:O31" si="11">C7-C19</f>
        <v>0</v>
      </c>
      <c r="D31" s="176">
        <f t="shared" si="11"/>
        <v>0</v>
      </c>
      <c r="E31" s="176">
        <f t="shared" si="11"/>
        <v>0</v>
      </c>
      <c r="F31" s="176">
        <f t="shared" si="11"/>
        <v>0</v>
      </c>
      <c r="G31" s="176">
        <f t="shared" si="11"/>
        <v>0</v>
      </c>
      <c r="H31" s="176">
        <f t="shared" si="11"/>
        <v>0</v>
      </c>
      <c r="I31" s="176">
        <f t="shared" si="11"/>
        <v>0</v>
      </c>
      <c r="J31" s="176">
        <f t="shared" si="11"/>
        <v>0</v>
      </c>
      <c r="K31" s="176">
        <f t="shared" si="11"/>
        <v>0</v>
      </c>
      <c r="L31" s="176">
        <f t="shared" si="11"/>
        <v>0</v>
      </c>
      <c r="M31" s="176">
        <f t="shared" si="11"/>
        <v>0</v>
      </c>
      <c r="N31" s="176">
        <f t="shared" si="11"/>
        <v>0</v>
      </c>
      <c r="O31" s="176">
        <f t="shared" si="11"/>
        <v>0</v>
      </c>
      <c r="P31" s="37">
        <f t="shared" si="9"/>
        <v>0</v>
      </c>
      <c r="R31" s="183" t="str">
        <f>IF(Budget!R31&gt;0,Budget!R31,"")</f>
        <v/>
      </c>
    </row>
    <row r="32" spans="1:18" x14ac:dyDescent="0.25">
      <c r="A32" s="8"/>
      <c r="B32" s="7" t="str">
        <f t="shared" si="10"/>
        <v>Furniture</v>
      </c>
      <c r="C32" s="176">
        <f t="shared" ref="C32:O32" si="12">C8-C20</f>
        <v>0</v>
      </c>
      <c r="D32" s="176">
        <f t="shared" si="12"/>
        <v>0</v>
      </c>
      <c r="E32" s="176">
        <f t="shared" si="12"/>
        <v>0</v>
      </c>
      <c r="F32" s="176">
        <f t="shared" si="12"/>
        <v>0</v>
      </c>
      <c r="G32" s="176">
        <f t="shared" si="12"/>
        <v>0</v>
      </c>
      <c r="H32" s="176">
        <f t="shared" si="12"/>
        <v>0</v>
      </c>
      <c r="I32" s="176">
        <f t="shared" si="12"/>
        <v>0</v>
      </c>
      <c r="J32" s="176">
        <f t="shared" si="12"/>
        <v>0</v>
      </c>
      <c r="K32" s="176">
        <f t="shared" si="12"/>
        <v>0</v>
      </c>
      <c r="L32" s="176">
        <f t="shared" si="12"/>
        <v>0</v>
      </c>
      <c r="M32" s="176">
        <f t="shared" si="12"/>
        <v>0</v>
      </c>
      <c r="N32" s="176">
        <f t="shared" si="12"/>
        <v>0</v>
      </c>
      <c r="O32" s="176">
        <f t="shared" si="12"/>
        <v>0</v>
      </c>
      <c r="P32" s="37">
        <f t="shared" si="9"/>
        <v>0</v>
      </c>
      <c r="R32" s="183" t="str">
        <f>IF(Budget!R32&gt;0,Budget!R32,"")</f>
        <v/>
      </c>
    </row>
    <row r="33" spans="1:18" x14ac:dyDescent="0.25">
      <c r="A33" s="8"/>
      <c r="B33" s="7" t="str">
        <f t="shared" si="10"/>
        <v>Food (Included as part of Basic Needs)</v>
      </c>
      <c r="C33" s="176">
        <f t="shared" ref="C33:O33" si="13">C9-C21</f>
        <v>0</v>
      </c>
      <c r="D33" s="176">
        <f t="shared" si="13"/>
        <v>0</v>
      </c>
      <c r="E33" s="176">
        <f t="shared" si="13"/>
        <v>0</v>
      </c>
      <c r="F33" s="176">
        <f t="shared" si="13"/>
        <v>0</v>
      </c>
      <c r="G33" s="176">
        <f t="shared" si="13"/>
        <v>0</v>
      </c>
      <c r="H33" s="176">
        <f t="shared" si="13"/>
        <v>0</v>
      </c>
      <c r="I33" s="176">
        <f t="shared" si="13"/>
        <v>0</v>
      </c>
      <c r="J33" s="176">
        <f t="shared" si="13"/>
        <v>0</v>
      </c>
      <c r="K33" s="176">
        <f t="shared" si="13"/>
        <v>0</v>
      </c>
      <c r="L33" s="176">
        <f t="shared" si="13"/>
        <v>0</v>
      </c>
      <c r="M33" s="176">
        <f t="shared" si="13"/>
        <v>0</v>
      </c>
      <c r="N33" s="176">
        <f t="shared" si="13"/>
        <v>0</v>
      </c>
      <c r="O33" s="176">
        <f t="shared" si="13"/>
        <v>0</v>
      </c>
      <c r="P33" s="37">
        <f t="shared" si="9"/>
        <v>0</v>
      </c>
      <c r="R33" s="183" t="str">
        <f>IF(Budget!R33&gt;0,Budget!R33,"")</f>
        <v/>
      </c>
    </row>
    <row r="34" spans="1:18" x14ac:dyDescent="0.25">
      <c r="A34" s="8"/>
      <c r="B34" s="7" t="str">
        <f t="shared" si="10"/>
        <v>Clothing</v>
      </c>
      <c r="C34" s="176">
        <f t="shared" ref="C34:O34" si="14">C10-C22</f>
        <v>0</v>
      </c>
      <c r="D34" s="176">
        <f t="shared" si="14"/>
        <v>0</v>
      </c>
      <c r="E34" s="176">
        <f t="shared" si="14"/>
        <v>0</v>
      </c>
      <c r="F34" s="176">
        <f t="shared" si="14"/>
        <v>0</v>
      </c>
      <c r="G34" s="176">
        <f t="shared" si="14"/>
        <v>0</v>
      </c>
      <c r="H34" s="176">
        <f t="shared" si="14"/>
        <v>0</v>
      </c>
      <c r="I34" s="176">
        <f t="shared" si="14"/>
        <v>0</v>
      </c>
      <c r="J34" s="176">
        <f t="shared" si="14"/>
        <v>0</v>
      </c>
      <c r="K34" s="176">
        <f t="shared" si="14"/>
        <v>0</v>
      </c>
      <c r="L34" s="176">
        <f t="shared" si="14"/>
        <v>0</v>
      </c>
      <c r="M34" s="176">
        <f t="shared" si="14"/>
        <v>0</v>
      </c>
      <c r="N34" s="176">
        <f t="shared" si="14"/>
        <v>0</v>
      </c>
      <c r="O34" s="176">
        <f t="shared" si="14"/>
        <v>0</v>
      </c>
      <c r="P34" s="37">
        <f t="shared" si="9"/>
        <v>0</v>
      </c>
      <c r="R34" s="183" t="str">
        <f>IF(Budget!R34&gt;0,Budget!R34,"")</f>
        <v/>
      </c>
    </row>
    <row r="35" spans="1:18" x14ac:dyDescent="0.25">
      <c r="A35" s="8"/>
      <c r="B35" s="7" t="str">
        <f t="shared" si="10"/>
        <v>Transportation</v>
      </c>
      <c r="C35" s="176">
        <f t="shared" ref="C35:O35" si="15">C11-C23</f>
        <v>0</v>
      </c>
      <c r="D35" s="176">
        <f t="shared" si="15"/>
        <v>0</v>
      </c>
      <c r="E35" s="176">
        <f t="shared" si="15"/>
        <v>0</v>
      </c>
      <c r="F35" s="176">
        <f t="shared" si="15"/>
        <v>0</v>
      </c>
      <c r="G35" s="176">
        <f t="shared" si="15"/>
        <v>0</v>
      </c>
      <c r="H35" s="176">
        <f t="shared" si="15"/>
        <v>0</v>
      </c>
      <c r="I35" s="176">
        <f t="shared" si="15"/>
        <v>0</v>
      </c>
      <c r="J35" s="176">
        <f t="shared" si="15"/>
        <v>0</v>
      </c>
      <c r="K35" s="176">
        <f t="shared" si="15"/>
        <v>0</v>
      </c>
      <c r="L35" s="176">
        <f t="shared" si="15"/>
        <v>0</v>
      </c>
      <c r="M35" s="176">
        <f t="shared" si="15"/>
        <v>0</v>
      </c>
      <c r="N35" s="176">
        <f t="shared" si="15"/>
        <v>0</v>
      </c>
      <c r="O35" s="176">
        <f t="shared" si="15"/>
        <v>0</v>
      </c>
      <c r="P35" s="37">
        <f t="shared" si="9"/>
        <v>0</v>
      </c>
      <c r="R35" s="183" t="str">
        <f>IF(Budget!R35&gt;0,Budget!R35,"")</f>
        <v/>
      </c>
    </row>
    <row r="36" spans="1:18" x14ac:dyDescent="0.25">
      <c r="A36" s="8"/>
      <c r="B36" s="7" t="str">
        <f t="shared" si="10"/>
        <v>Communication</v>
      </c>
      <c r="C36" s="176">
        <f t="shared" ref="C36:O36" si="16">C12-C24</f>
        <v>0</v>
      </c>
      <c r="D36" s="176">
        <f t="shared" si="16"/>
        <v>0</v>
      </c>
      <c r="E36" s="176">
        <f t="shared" si="16"/>
        <v>0</v>
      </c>
      <c r="F36" s="176">
        <f t="shared" si="16"/>
        <v>0</v>
      </c>
      <c r="G36" s="176">
        <f t="shared" si="16"/>
        <v>0</v>
      </c>
      <c r="H36" s="176">
        <f t="shared" si="16"/>
        <v>0</v>
      </c>
      <c r="I36" s="176">
        <f t="shared" si="16"/>
        <v>0</v>
      </c>
      <c r="J36" s="176">
        <f t="shared" si="16"/>
        <v>0</v>
      </c>
      <c r="K36" s="176">
        <f t="shared" si="16"/>
        <v>0</v>
      </c>
      <c r="L36" s="176">
        <f t="shared" si="16"/>
        <v>0</v>
      </c>
      <c r="M36" s="176">
        <f t="shared" si="16"/>
        <v>0</v>
      </c>
      <c r="N36" s="176">
        <f t="shared" si="16"/>
        <v>0</v>
      </c>
      <c r="O36" s="176">
        <f t="shared" si="16"/>
        <v>0</v>
      </c>
      <c r="P36" s="37">
        <f t="shared" si="9"/>
        <v>0</v>
      </c>
      <c r="R36" s="183" t="str">
        <f>IF(Budget!R36&gt;0,Budget!R36,"")</f>
        <v/>
      </c>
    </row>
    <row r="37" spans="1:18" x14ac:dyDescent="0.25">
      <c r="A37" s="8"/>
      <c r="B37" s="7" t="str">
        <f t="shared" si="10"/>
        <v>Incidentals  (Included as part of Basic Needs)</v>
      </c>
      <c r="C37" s="176">
        <f t="shared" ref="C37:O37" si="17">C13-C25</f>
        <v>0</v>
      </c>
      <c r="D37" s="176">
        <f t="shared" si="17"/>
        <v>0</v>
      </c>
      <c r="E37" s="176">
        <f t="shared" si="17"/>
        <v>0</v>
      </c>
      <c r="F37" s="176">
        <f t="shared" si="17"/>
        <v>0</v>
      </c>
      <c r="G37" s="176">
        <f t="shared" si="17"/>
        <v>0</v>
      </c>
      <c r="H37" s="176">
        <f t="shared" si="17"/>
        <v>0</v>
      </c>
      <c r="I37" s="176">
        <f t="shared" si="17"/>
        <v>0</v>
      </c>
      <c r="J37" s="176">
        <f t="shared" si="17"/>
        <v>0</v>
      </c>
      <c r="K37" s="176">
        <f t="shared" si="17"/>
        <v>0</v>
      </c>
      <c r="L37" s="176">
        <f t="shared" si="17"/>
        <v>0</v>
      </c>
      <c r="M37" s="176">
        <f t="shared" si="17"/>
        <v>0</v>
      </c>
      <c r="N37" s="176">
        <f t="shared" si="17"/>
        <v>0</v>
      </c>
      <c r="O37" s="176">
        <f t="shared" si="17"/>
        <v>0</v>
      </c>
      <c r="P37" s="37">
        <f t="shared" si="9"/>
        <v>0</v>
      </c>
      <c r="R37" s="183" t="str">
        <f>IF(Budget!R37&gt;0,Budget!R37,"")</f>
        <v/>
      </c>
    </row>
    <row r="38" spans="1:18" x14ac:dyDescent="0.25">
      <c r="A38" s="57"/>
      <c r="B38" s="7" t="str">
        <f t="shared" si="10"/>
        <v>Medical Expenses (not covered by OHIP or IFHP)</v>
      </c>
      <c r="C38" s="176">
        <f t="shared" ref="C38:O38" si="18">C14-C26</f>
        <v>0</v>
      </c>
      <c r="D38" s="176">
        <f t="shared" si="18"/>
        <v>0</v>
      </c>
      <c r="E38" s="176">
        <f t="shared" si="18"/>
        <v>0</v>
      </c>
      <c r="F38" s="176">
        <f t="shared" si="18"/>
        <v>0</v>
      </c>
      <c r="G38" s="176">
        <f t="shared" si="18"/>
        <v>0</v>
      </c>
      <c r="H38" s="176">
        <f t="shared" si="18"/>
        <v>0</v>
      </c>
      <c r="I38" s="176">
        <f t="shared" si="18"/>
        <v>0</v>
      </c>
      <c r="J38" s="176">
        <f t="shared" si="18"/>
        <v>0</v>
      </c>
      <c r="K38" s="176">
        <f t="shared" si="18"/>
        <v>0</v>
      </c>
      <c r="L38" s="176">
        <f t="shared" si="18"/>
        <v>0</v>
      </c>
      <c r="M38" s="176">
        <f t="shared" si="18"/>
        <v>0</v>
      </c>
      <c r="N38" s="176">
        <f t="shared" si="18"/>
        <v>0</v>
      </c>
      <c r="O38" s="176">
        <f t="shared" si="18"/>
        <v>0</v>
      </c>
      <c r="P38" s="37">
        <f t="shared" ref="P38" si="19">SUM(C38:O38)</f>
        <v>0</v>
      </c>
      <c r="R38" s="183"/>
    </row>
    <row r="39" spans="1:18" ht="15.75" thickBot="1" x14ac:dyDescent="0.3">
      <c r="A39" s="9"/>
      <c r="B39" s="15" t="s">
        <v>44</v>
      </c>
      <c r="C39" s="19">
        <f>SUM(C30:C38)</f>
        <v>0</v>
      </c>
      <c r="D39" s="19">
        <f t="shared" ref="D39:P39" si="20">SUM(D30:D38)</f>
        <v>0</v>
      </c>
      <c r="E39" s="19">
        <f t="shared" si="20"/>
        <v>0</v>
      </c>
      <c r="F39" s="19">
        <f t="shared" si="20"/>
        <v>0</v>
      </c>
      <c r="G39" s="19">
        <f t="shared" si="20"/>
        <v>0</v>
      </c>
      <c r="H39" s="19">
        <f t="shared" si="20"/>
        <v>0</v>
      </c>
      <c r="I39" s="19">
        <f t="shared" si="20"/>
        <v>0</v>
      </c>
      <c r="J39" s="19">
        <f t="shared" si="20"/>
        <v>0</v>
      </c>
      <c r="K39" s="19">
        <f t="shared" si="20"/>
        <v>0</v>
      </c>
      <c r="L39" s="19">
        <f t="shared" si="20"/>
        <v>0</v>
      </c>
      <c r="M39" s="19">
        <f t="shared" si="20"/>
        <v>0</v>
      </c>
      <c r="N39" s="19">
        <f t="shared" si="20"/>
        <v>0</v>
      </c>
      <c r="O39" s="19">
        <f t="shared" si="20"/>
        <v>0</v>
      </c>
      <c r="P39" s="19">
        <f t="shared" si="20"/>
        <v>0</v>
      </c>
      <c r="R39" s="183" t="str">
        <f>IF(Budget!R39&gt;0,Budget!R39,"")</f>
        <v/>
      </c>
    </row>
    <row r="40" spans="1:18" ht="15.75" thickTop="1" x14ac:dyDescent="0.25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183" t="str">
        <f>IF(Budget!R40&gt;0,Budget!R40,"")</f>
        <v/>
      </c>
    </row>
    <row r="41" spans="1:18" ht="18.75" x14ac:dyDescent="0.25">
      <c r="A41" s="12" t="s">
        <v>181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183" t="str">
        <f>IF(Budget!R41&gt;0,Budget!R41,"")</f>
        <v/>
      </c>
    </row>
    <row r="42" spans="1:18" ht="18.75" x14ac:dyDescent="0.25">
      <c r="A42" s="12"/>
      <c r="B42" s="159" t="s">
        <v>182</v>
      </c>
      <c r="C42" s="213">
        <f>'User Input Sheet'!C17</f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37">
        <f>SUM(C42:O42)</f>
        <v>0</v>
      </c>
      <c r="R42" s="183" t="str">
        <f>IF(Budget!R42&gt;0,Budget!R42,"")</f>
        <v/>
      </c>
    </row>
    <row r="43" spans="1:18" ht="18.75" x14ac:dyDescent="0.25">
      <c r="A43" s="12"/>
      <c r="B43" s="158" t="s">
        <v>183</v>
      </c>
      <c r="C43" s="20">
        <f>'User Input Sheet'!C18</f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37">
        <f>SUM(C43:O43)</f>
        <v>0</v>
      </c>
      <c r="R43" s="183" t="str">
        <f>IF(Budget!R43&gt;0,Budget!R43,"")</f>
        <v/>
      </c>
    </row>
    <row r="44" spans="1:18" ht="18.75" x14ac:dyDescent="0.25">
      <c r="A44" s="12" t="s">
        <v>184</v>
      </c>
      <c r="R44" s="183" t="str">
        <f>IF(Budget!R44&gt;0,Budget!R44,"")</f>
        <v/>
      </c>
    </row>
    <row r="45" spans="1:18" ht="18.75" customHeight="1" x14ac:dyDescent="0.25">
      <c r="B45" s="159" t="s">
        <v>185</v>
      </c>
      <c r="C45" s="215">
        <v>0</v>
      </c>
      <c r="D45" s="215">
        <v>0</v>
      </c>
      <c r="E45" s="215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215">
        <v>0</v>
      </c>
      <c r="M45" s="215">
        <v>0</v>
      </c>
      <c r="N45" s="215">
        <v>0</v>
      </c>
      <c r="O45" s="215">
        <v>0</v>
      </c>
      <c r="P45" s="37">
        <f>SUM(C45:O45)</f>
        <v>0</v>
      </c>
      <c r="R45" s="183" t="str">
        <f>IF(Budget!R45&gt;0,Budget!R45,"")</f>
        <v/>
      </c>
    </row>
    <row r="46" spans="1:18" ht="18.75" customHeight="1" x14ac:dyDescent="0.25">
      <c r="B46" s="159" t="s">
        <v>186</v>
      </c>
      <c r="C46" s="196">
        <v>0</v>
      </c>
      <c r="D46" s="196">
        <v>0</v>
      </c>
      <c r="E46" s="196">
        <v>0</v>
      </c>
      <c r="F46" s="196">
        <v>0</v>
      </c>
      <c r="G46" s="196">
        <v>0</v>
      </c>
      <c r="H46" s="196">
        <v>0</v>
      </c>
      <c r="I46" s="196">
        <v>0</v>
      </c>
      <c r="J46" s="196">
        <v>0</v>
      </c>
      <c r="K46" s="196">
        <v>0</v>
      </c>
      <c r="L46" s="196">
        <v>0</v>
      </c>
      <c r="M46" s="196">
        <v>0</v>
      </c>
      <c r="N46" s="196">
        <v>0</v>
      </c>
      <c r="O46" s="196">
        <v>0</v>
      </c>
      <c r="P46" s="37">
        <f>SUM(C46:O46)</f>
        <v>0</v>
      </c>
      <c r="R46" s="183" t="str">
        <f>IF(Budget!R46&gt;0,Budget!R46,"")</f>
        <v/>
      </c>
    </row>
    <row r="47" spans="1:18" ht="15.75" thickBot="1" x14ac:dyDescent="0.3">
      <c r="A47" s="162"/>
      <c r="B47" s="163" t="s">
        <v>187</v>
      </c>
      <c r="C47" s="19">
        <f>C43+C46</f>
        <v>0</v>
      </c>
      <c r="D47" s="19">
        <f t="shared" ref="D47:O47" si="21">D43+D46</f>
        <v>0</v>
      </c>
      <c r="E47" s="19">
        <f t="shared" si="21"/>
        <v>0</v>
      </c>
      <c r="F47" s="19">
        <f t="shared" si="21"/>
        <v>0</v>
      </c>
      <c r="G47" s="19">
        <f t="shared" si="21"/>
        <v>0</v>
      </c>
      <c r="H47" s="19">
        <f t="shared" si="21"/>
        <v>0</v>
      </c>
      <c r="I47" s="19">
        <f t="shared" si="21"/>
        <v>0</v>
      </c>
      <c r="J47" s="19">
        <f t="shared" si="21"/>
        <v>0</v>
      </c>
      <c r="K47" s="19">
        <f t="shared" si="21"/>
        <v>0</v>
      </c>
      <c r="L47" s="19">
        <f t="shared" si="21"/>
        <v>0</v>
      </c>
      <c r="M47" s="19">
        <f t="shared" si="21"/>
        <v>0</v>
      </c>
      <c r="N47" s="19">
        <f t="shared" si="21"/>
        <v>0</v>
      </c>
      <c r="O47" s="19">
        <f t="shared" si="21"/>
        <v>0</v>
      </c>
      <c r="P47" s="19">
        <f>SUM(C47:O47)</f>
        <v>0</v>
      </c>
      <c r="R47" s="183" t="str">
        <f>IF(Budget!R47&gt;0,Budget!R47,"")</f>
        <v/>
      </c>
    </row>
    <row r="48" spans="1:18" ht="6" customHeight="1" thickTop="1" x14ac:dyDescent="0.25">
      <c r="B48" s="2"/>
      <c r="R48" s="183" t="str">
        <f>IF(Budget!R48&gt;0,Budget!R48,"")</f>
        <v/>
      </c>
    </row>
    <row r="49" spans="1:18" ht="15.75" thickBot="1" x14ac:dyDescent="0.3">
      <c r="A49" s="11" t="s">
        <v>188</v>
      </c>
      <c r="B49" s="11"/>
      <c r="C49" s="17">
        <f>C47-C39</f>
        <v>0</v>
      </c>
      <c r="D49" s="17">
        <f t="shared" ref="D49:O49" si="22">D47-D39</f>
        <v>0</v>
      </c>
      <c r="E49" s="17">
        <f t="shared" si="22"/>
        <v>0</v>
      </c>
      <c r="F49" s="17">
        <f t="shared" si="22"/>
        <v>0</v>
      </c>
      <c r="G49" s="17">
        <f t="shared" si="22"/>
        <v>0</v>
      </c>
      <c r="H49" s="17">
        <f t="shared" si="22"/>
        <v>0</v>
      </c>
      <c r="I49" s="17">
        <f t="shared" si="22"/>
        <v>0</v>
      </c>
      <c r="J49" s="17">
        <f t="shared" si="22"/>
        <v>0</v>
      </c>
      <c r="K49" s="17">
        <f t="shared" si="22"/>
        <v>0</v>
      </c>
      <c r="L49" s="17">
        <f t="shared" si="22"/>
        <v>0</v>
      </c>
      <c r="M49" s="17">
        <f t="shared" si="22"/>
        <v>0</v>
      </c>
      <c r="N49" s="17">
        <f t="shared" si="22"/>
        <v>0</v>
      </c>
      <c r="O49" s="17">
        <f t="shared" si="22"/>
        <v>0</v>
      </c>
      <c r="P49" s="17">
        <f>SUM(C49:O49)</f>
        <v>0</v>
      </c>
      <c r="R49" s="183" t="str">
        <f>IF(Budget!R49&gt;0,Budget!R49,"")</f>
        <v/>
      </c>
    </row>
    <row r="50" spans="1:18" ht="16.5" thickTop="1" thickBot="1" x14ac:dyDescent="0.3">
      <c r="A50" s="44" t="s">
        <v>189</v>
      </c>
      <c r="B50" s="44"/>
      <c r="C50" s="19">
        <f>C49</f>
        <v>0</v>
      </c>
      <c r="D50" s="19">
        <f>C50+D49</f>
        <v>0</v>
      </c>
      <c r="E50" s="19">
        <f t="shared" ref="E50:O50" si="23">D50+E49</f>
        <v>0</v>
      </c>
      <c r="F50" s="19">
        <f t="shared" si="23"/>
        <v>0</v>
      </c>
      <c r="G50" s="19">
        <f t="shared" si="23"/>
        <v>0</v>
      </c>
      <c r="H50" s="19">
        <f t="shared" si="23"/>
        <v>0</v>
      </c>
      <c r="I50" s="19">
        <f t="shared" si="23"/>
        <v>0</v>
      </c>
      <c r="J50" s="19">
        <f t="shared" si="23"/>
        <v>0</v>
      </c>
      <c r="K50" s="19">
        <f t="shared" si="23"/>
        <v>0</v>
      </c>
      <c r="L50" s="19">
        <f t="shared" si="23"/>
        <v>0</v>
      </c>
      <c r="M50" s="19">
        <f t="shared" si="23"/>
        <v>0</v>
      </c>
      <c r="N50" s="19">
        <f t="shared" si="23"/>
        <v>0</v>
      </c>
      <c r="O50" s="19">
        <f t="shared" si="23"/>
        <v>0</v>
      </c>
      <c r="P50" s="19"/>
      <c r="R50" s="183" t="str">
        <f>IF(Budget!R50&gt;0,Budget!R50,"")</f>
        <v/>
      </c>
    </row>
    <row r="51" spans="1:18" ht="15.75" thickTop="1" x14ac:dyDescent="0.25">
      <c r="A51" s="2" t="s">
        <v>190</v>
      </c>
      <c r="B51" s="2"/>
      <c r="R51" s="183" t="str">
        <f>IF(Budget!R51&gt;0,Budget!R51,"")</f>
        <v/>
      </c>
    </row>
    <row r="52" spans="1:18" x14ac:dyDescent="0.25">
      <c r="A52" s="2"/>
      <c r="B52" s="2" t="s">
        <v>191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37">
        <f>SUM(C52:O52)</f>
        <v>0</v>
      </c>
      <c r="R52" s="183" t="str">
        <f>IF(Budget!R52&gt;0,Budget!R52,"")</f>
        <v>Enter as positive value</v>
      </c>
    </row>
    <row r="53" spans="1:18" x14ac:dyDescent="0.25">
      <c r="A53" s="2"/>
      <c r="B53" s="2" t="s">
        <v>193</v>
      </c>
      <c r="C53" s="46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37">
        <f>SUM(C53:O53)</f>
        <v>0</v>
      </c>
      <c r="R53" s="183" t="str">
        <f>IF(Budget!R53&gt;0,Budget!R53,"")</f>
        <v>Enter as positive value</v>
      </c>
    </row>
    <row r="54" spans="1:18" x14ac:dyDescent="0.25">
      <c r="A54" s="2"/>
      <c r="B54" s="2" t="s">
        <v>194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37">
        <f>SUM(C54:O54)</f>
        <v>0</v>
      </c>
      <c r="R54" s="183"/>
    </row>
    <row r="55" spans="1:18" ht="23.25" customHeight="1" x14ac:dyDescent="0.25">
      <c r="A55" s="35" t="s">
        <v>195</v>
      </c>
      <c r="B55" s="36"/>
      <c r="C55" s="38" t="str">
        <f>IF(C52+C53+C54+C49=0,"Balanced","Not Balanced")</f>
        <v>Balanced</v>
      </c>
      <c r="D55" s="38" t="str">
        <f t="shared" ref="D55:P55" si="24">IF(D52+D53+D54+D49=0,"Balanced","Not Balanced")</f>
        <v>Balanced</v>
      </c>
      <c r="E55" s="38" t="str">
        <f t="shared" si="24"/>
        <v>Balanced</v>
      </c>
      <c r="F55" s="38" t="str">
        <f t="shared" si="24"/>
        <v>Balanced</v>
      </c>
      <c r="G55" s="38" t="str">
        <f t="shared" si="24"/>
        <v>Balanced</v>
      </c>
      <c r="H55" s="38" t="str">
        <f t="shared" si="24"/>
        <v>Balanced</v>
      </c>
      <c r="I55" s="38" t="str">
        <f t="shared" si="24"/>
        <v>Balanced</v>
      </c>
      <c r="J55" s="38" t="str">
        <f t="shared" si="24"/>
        <v>Balanced</v>
      </c>
      <c r="K55" s="38" t="str">
        <f t="shared" si="24"/>
        <v>Balanced</v>
      </c>
      <c r="L55" s="38" t="str">
        <f t="shared" si="24"/>
        <v>Balanced</v>
      </c>
      <c r="M55" s="38" t="str">
        <f t="shared" si="24"/>
        <v>Balanced</v>
      </c>
      <c r="N55" s="38" t="str">
        <f t="shared" si="24"/>
        <v>Balanced</v>
      </c>
      <c r="O55" s="38" t="str">
        <f t="shared" si="24"/>
        <v>Balanced</v>
      </c>
      <c r="P55" s="38" t="str">
        <f t="shared" si="24"/>
        <v>Balanced</v>
      </c>
      <c r="R55" s="183" t="str">
        <f>IF(Budget!R55&gt;0,Budget!R55,"")</f>
        <v>Ensure that each month is "Balanced".  The sum of RG/Parish and Project Hope/Other Fund monies should equal the Income vs Expenses surplus/(deficit) line</v>
      </c>
    </row>
    <row r="56" spans="1:18" ht="15" customHeight="1" x14ac:dyDescent="0.25">
      <c r="R56" s="183" t="str">
        <f>IF(Budget!R56&gt;0,Budget!R56,"")</f>
        <v/>
      </c>
    </row>
    <row r="57" spans="1:18" ht="27" customHeight="1" x14ac:dyDescent="0.25">
      <c r="A57" s="12" t="s">
        <v>197</v>
      </c>
      <c r="R57" s="183" t="str">
        <f>IF(Budget!R57&gt;0,Budget!R57,"")</f>
        <v>While the newcomer may choose to direct these benefits towards settlement expenses, the sponsor cannot mandate this.</v>
      </c>
    </row>
    <row r="58" spans="1:18" x14ac:dyDescent="0.25">
      <c r="B58" s="1" t="s">
        <v>199</v>
      </c>
      <c r="C58" s="194">
        <v>0</v>
      </c>
      <c r="D58" s="194">
        <v>0</v>
      </c>
      <c r="E58" s="194">
        <v>0</v>
      </c>
      <c r="F58" s="194">
        <v>0</v>
      </c>
      <c r="G58" s="194">
        <v>0</v>
      </c>
      <c r="H58" s="194">
        <v>0</v>
      </c>
      <c r="I58" s="194">
        <v>0</v>
      </c>
      <c r="J58" s="194">
        <v>0</v>
      </c>
      <c r="K58" s="194">
        <v>0</v>
      </c>
      <c r="L58" s="194">
        <v>0</v>
      </c>
      <c r="M58" s="194">
        <v>0</v>
      </c>
      <c r="N58" s="194">
        <v>0</v>
      </c>
      <c r="O58" s="194">
        <v>0</v>
      </c>
      <c r="P58" s="37">
        <f>SUM(C58:O58)</f>
        <v>0</v>
      </c>
      <c r="R58" s="183" t="str">
        <f>IF(Budget!R58&gt;0,Budget!R58,"")</f>
        <v/>
      </c>
    </row>
    <row r="59" spans="1:18" x14ac:dyDescent="0.25">
      <c r="B59" s="1" t="s">
        <v>200</v>
      </c>
      <c r="C59" s="194">
        <v>0</v>
      </c>
      <c r="D59" s="194">
        <v>0</v>
      </c>
      <c r="E59" s="194">
        <v>0</v>
      </c>
      <c r="F59" s="194">
        <v>0</v>
      </c>
      <c r="G59" s="194">
        <v>0</v>
      </c>
      <c r="H59" s="194">
        <v>0</v>
      </c>
      <c r="I59" s="194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0</v>
      </c>
      <c r="O59" s="194">
        <v>0</v>
      </c>
      <c r="P59" s="37">
        <f t="shared" ref="P59:P65" si="25">SUM(C59:O59)</f>
        <v>0</v>
      </c>
      <c r="R59" s="183" t="str">
        <f>IF(Budget!R59&gt;0,Budget!R59,"")</f>
        <v/>
      </c>
    </row>
    <row r="60" spans="1:18" x14ac:dyDescent="0.25">
      <c r="B60" s="1" t="s">
        <v>201</v>
      </c>
      <c r="C60" s="194">
        <v>0</v>
      </c>
      <c r="D60" s="194">
        <v>0</v>
      </c>
      <c r="E60" s="194">
        <v>0</v>
      </c>
      <c r="F60" s="194">
        <v>0</v>
      </c>
      <c r="G60" s="194">
        <v>0</v>
      </c>
      <c r="H60" s="194">
        <v>0</v>
      </c>
      <c r="I60" s="194">
        <v>0</v>
      </c>
      <c r="J60" s="194">
        <v>0</v>
      </c>
      <c r="K60" s="194">
        <v>0</v>
      </c>
      <c r="L60" s="194">
        <v>0</v>
      </c>
      <c r="M60" s="194">
        <v>0</v>
      </c>
      <c r="N60" s="194">
        <v>0</v>
      </c>
      <c r="O60" s="194">
        <v>0</v>
      </c>
      <c r="P60" s="37">
        <f t="shared" si="25"/>
        <v>0</v>
      </c>
      <c r="R60" s="183" t="str">
        <f>IF(Budget!R60&gt;0,Budget!R60,"")</f>
        <v/>
      </c>
    </row>
    <row r="61" spans="1:18" x14ac:dyDescent="0.25">
      <c r="B61" s="1" t="s">
        <v>202</v>
      </c>
      <c r="C61" s="194">
        <v>0</v>
      </c>
      <c r="D61" s="194">
        <v>0</v>
      </c>
      <c r="E61" s="194">
        <v>0</v>
      </c>
      <c r="F61" s="194">
        <v>0</v>
      </c>
      <c r="G61" s="194">
        <v>0</v>
      </c>
      <c r="H61" s="194">
        <v>0</v>
      </c>
      <c r="I61" s="194">
        <v>0</v>
      </c>
      <c r="J61" s="194">
        <v>0</v>
      </c>
      <c r="K61" s="194">
        <v>0</v>
      </c>
      <c r="L61" s="194">
        <v>0</v>
      </c>
      <c r="M61" s="194">
        <v>0</v>
      </c>
      <c r="N61" s="194">
        <v>0</v>
      </c>
      <c r="O61" s="194">
        <v>0</v>
      </c>
      <c r="P61" s="37">
        <f t="shared" si="25"/>
        <v>0</v>
      </c>
      <c r="R61" s="183" t="str">
        <f>IF(Budget!R61&gt;0,Budget!R61,"")</f>
        <v/>
      </c>
    </row>
    <row r="62" spans="1:18" x14ac:dyDescent="0.25">
      <c r="B62" s="1" t="s">
        <v>203</v>
      </c>
      <c r="C62" s="194">
        <v>0</v>
      </c>
      <c r="D62" s="194">
        <v>0</v>
      </c>
      <c r="E62" s="194">
        <v>0</v>
      </c>
      <c r="F62" s="194">
        <v>0</v>
      </c>
      <c r="G62" s="194">
        <v>0</v>
      </c>
      <c r="H62" s="194">
        <v>0</v>
      </c>
      <c r="I62" s="194">
        <v>0</v>
      </c>
      <c r="J62" s="194">
        <v>0</v>
      </c>
      <c r="K62" s="194">
        <v>0</v>
      </c>
      <c r="L62" s="194">
        <v>0</v>
      </c>
      <c r="M62" s="194">
        <v>0</v>
      </c>
      <c r="N62" s="194">
        <v>0</v>
      </c>
      <c r="O62" s="194">
        <v>0</v>
      </c>
      <c r="P62" s="37">
        <f t="shared" si="25"/>
        <v>0</v>
      </c>
      <c r="R62" s="183" t="str">
        <f>IF(Budget!R62&gt;0,Budget!R62,"")</f>
        <v/>
      </c>
    </row>
    <row r="63" spans="1:18" x14ac:dyDescent="0.25">
      <c r="B63" s="1" t="s">
        <v>204</v>
      </c>
      <c r="C63" s="194">
        <v>0</v>
      </c>
      <c r="D63" s="194">
        <v>0</v>
      </c>
      <c r="E63" s="194">
        <v>0</v>
      </c>
      <c r="F63" s="194">
        <v>0</v>
      </c>
      <c r="G63" s="194">
        <v>0</v>
      </c>
      <c r="H63" s="194">
        <v>0</v>
      </c>
      <c r="I63" s="194">
        <v>0</v>
      </c>
      <c r="J63" s="194">
        <v>0</v>
      </c>
      <c r="K63" s="194">
        <v>0</v>
      </c>
      <c r="L63" s="194">
        <v>0</v>
      </c>
      <c r="M63" s="194">
        <v>0</v>
      </c>
      <c r="N63" s="194">
        <v>0</v>
      </c>
      <c r="O63" s="194">
        <v>0</v>
      </c>
      <c r="P63" s="37">
        <f t="shared" si="25"/>
        <v>0</v>
      </c>
      <c r="R63" s="183" t="str">
        <f>IF(Budget!R63&gt;0,Budget!R63,"")</f>
        <v/>
      </c>
    </row>
    <row r="64" spans="1:18" x14ac:dyDescent="0.25">
      <c r="B64" s="1" t="s">
        <v>205</v>
      </c>
      <c r="C64" s="194">
        <v>0</v>
      </c>
      <c r="D64" s="194">
        <v>0</v>
      </c>
      <c r="E64" s="194">
        <v>0</v>
      </c>
      <c r="F64" s="194">
        <v>0</v>
      </c>
      <c r="G64" s="194">
        <v>0</v>
      </c>
      <c r="H64" s="194">
        <v>0</v>
      </c>
      <c r="I64" s="194">
        <v>0</v>
      </c>
      <c r="J64" s="194">
        <v>0</v>
      </c>
      <c r="K64" s="194">
        <v>0</v>
      </c>
      <c r="L64" s="194">
        <v>0</v>
      </c>
      <c r="M64" s="194">
        <v>0</v>
      </c>
      <c r="N64" s="194">
        <v>0</v>
      </c>
      <c r="O64" s="194">
        <v>0</v>
      </c>
      <c r="P64" s="37">
        <f t="shared" si="25"/>
        <v>0</v>
      </c>
      <c r="R64" s="183" t="str">
        <f>IF(Budget!R64&gt;0,Budget!R64,"")</f>
        <v/>
      </c>
    </row>
    <row r="65" spans="1:18" x14ac:dyDescent="0.25">
      <c r="B65" s="1" t="s">
        <v>206</v>
      </c>
      <c r="C65" s="195">
        <v>0</v>
      </c>
      <c r="D65" s="195">
        <v>0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5">
        <v>0</v>
      </c>
      <c r="N65" s="195">
        <v>0</v>
      </c>
      <c r="O65" s="195">
        <v>0</v>
      </c>
      <c r="P65" s="17">
        <f t="shared" si="25"/>
        <v>0</v>
      </c>
      <c r="R65" s="183" t="str">
        <f>IF(Budget!R65&gt;0,Budget!R65,"")</f>
        <v/>
      </c>
    </row>
    <row r="66" spans="1:18" ht="15.75" thickBot="1" x14ac:dyDescent="0.3">
      <c r="B66" s="11" t="s">
        <v>207</v>
      </c>
      <c r="C66" s="19">
        <f>SUM(C58:C65)</f>
        <v>0</v>
      </c>
      <c r="D66" s="19">
        <f t="shared" ref="D66:P66" si="26">SUM(D58:D65)</f>
        <v>0</v>
      </c>
      <c r="E66" s="19">
        <f t="shared" si="26"/>
        <v>0</v>
      </c>
      <c r="F66" s="19">
        <f t="shared" si="26"/>
        <v>0</v>
      </c>
      <c r="G66" s="19">
        <f t="shared" si="26"/>
        <v>0</v>
      </c>
      <c r="H66" s="19">
        <f t="shared" si="26"/>
        <v>0</v>
      </c>
      <c r="I66" s="19">
        <f t="shared" si="26"/>
        <v>0</v>
      </c>
      <c r="J66" s="19">
        <f t="shared" si="26"/>
        <v>0</v>
      </c>
      <c r="K66" s="19">
        <f t="shared" si="26"/>
        <v>0</v>
      </c>
      <c r="L66" s="19">
        <f t="shared" si="26"/>
        <v>0</v>
      </c>
      <c r="M66" s="19">
        <f t="shared" si="26"/>
        <v>0</v>
      </c>
      <c r="N66" s="19">
        <f t="shared" si="26"/>
        <v>0</v>
      </c>
      <c r="O66" s="19">
        <f t="shared" si="26"/>
        <v>0</v>
      </c>
      <c r="P66" s="19">
        <f t="shared" si="26"/>
        <v>0</v>
      </c>
      <c r="R66" s="183" t="str">
        <f>IF(Budget!R66&gt;0,Budget!R66,"")</f>
        <v/>
      </c>
    </row>
    <row r="67" spans="1:18" ht="16.5" thickTop="1" thickBot="1" x14ac:dyDescent="0.3">
      <c r="B67" s="44" t="s">
        <v>208</v>
      </c>
      <c r="C67" s="175">
        <f>C27+C47+C52+C53+C66</f>
        <v>0</v>
      </c>
      <c r="D67" s="175">
        <f t="shared" ref="D67:P67" si="27">D27+D47+D52+D53+D66</f>
        <v>0</v>
      </c>
      <c r="E67" s="175">
        <f t="shared" si="27"/>
        <v>0</v>
      </c>
      <c r="F67" s="175">
        <f t="shared" si="27"/>
        <v>0</v>
      </c>
      <c r="G67" s="175">
        <f t="shared" si="27"/>
        <v>0</v>
      </c>
      <c r="H67" s="175">
        <f t="shared" si="27"/>
        <v>0</v>
      </c>
      <c r="I67" s="175">
        <f t="shared" si="27"/>
        <v>0</v>
      </c>
      <c r="J67" s="175">
        <f t="shared" si="27"/>
        <v>0</v>
      </c>
      <c r="K67" s="175">
        <f t="shared" si="27"/>
        <v>0</v>
      </c>
      <c r="L67" s="175">
        <f t="shared" si="27"/>
        <v>0</v>
      </c>
      <c r="M67" s="175">
        <f t="shared" si="27"/>
        <v>0</v>
      </c>
      <c r="N67" s="175">
        <f t="shared" si="27"/>
        <v>0</v>
      </c>
      <c r="O67" s="175">
        <f t="shared" si="27"/>
        <v>0</v>
      </c>
      <c r="P67" s="175">
        <f t="shared" si="27"/>
        <v>0</v>
      </c>
      <c r="R67" s="183" t="str">
        <f>IF(Budget!R67&gt;0,Budget!R67,"")</f>
        <v/>
      </c>
    </row>
    <row r="68" spans="1:18" ht="16.5" thickTop="1" thickBot="1" x14ac:dyDescent="0.3">
      <c r="A68" s="11" t="s">
        <v>213</v>
      </c>
      <c r="B68" s="11"/>
      <c r="C68" s="175">
        <f>C15-C67</f>
        <v>0</v>
      </c>
      <c r="D68" s="175">
        <f t="shared" ref="D68:P68" si="28">D15-D67</f>
        <v>0</v>
      </c>
      <c r="E68" s="175">
        <f t="shared" si="28"/>
        <v>0</v>
      </c>
      <c r="F68" s="175">
        <f t="shared" si="28"/>
        <v>0</v>
      </c>
      <c r="G68" s="175">
        <f t="shared" si="28"/>
        <v>0</v>
      </c>
      <c r="H68" s="175">
        <f t="shared" si="28"/>
        <v>0</v>
      </c>
      <c r="I68" s="175">
        <f t="shared" si="28"/>
        <v>0</v>
      </c>
      <c r="J68" s="175">
        <f t="shared" si="28"/>
        <v>0</v>
      </c>
      <c r="K68" s="175">
        <f t="shared" si="28"/>
        <v>0</v>
      </c>
      <c r="L68" s="175">
        <f t="shared" si="28"/>
        <v>0</v>
      </c>
      <c r="M68" s="175">
        <f t="shared" si="28"/>
        <v>0</v>
      </c>
      <c r="N68" s="175">
        <f t="shared" si="28"/>
        <v>0</v>
      </c>
      <c r="O68" s="175">
        <f t="shared" si="28"/>
        <v>0</v>
      </c>
      <c r="P68" s="175">
        <f t="shared" si="28"/>
        <v>0</v>
      </c>
      <c r="R68" s="183" t="str">
        <f>IF(Budget!R68&gt;0,Budget!R68,"")</f>
        <v/>
      </c>
    </row>
    <row r="69" spans="1:18" ht="15.75" thickTop="1" x14ac:dyDescent="0.25">
      <c r="R69" s="1"/>
    </row>
    <row r="70" spans="1:18" x14ac:dyDescent="0.25">
      <c r="R70" s="1"/>
    </row>
    <row r="71" spans="1:18" x14ac:dyDescent="0.25">
      <c r="R71" s="1"/>
    </row>
    <row r="72" spans="1:18" x14ac:dyDescent="0.25">
      <c r="R72" s="1"/>
    </row>
    <row r="73" spans="1:18" x14ac:dyDescent="0.25">
      <c r="R73" s="1"/>
    </row>
    <row r="74" spans="1:18" x14ac:dyDescent="0.25">
      <c r="R74" s="1"/>
    </row>
    <row r="75" spans="1:18" x14ac:dyDescent="0.25">
      <c r="R75" s="1"/>
    </row>
  </sheetData>
  <sheetProtection algorithmName="SHA-512" hashValue="YxTfnJScBK1F0mGu4lk43f9vULZq3bE6COYmUCQhTN8oeMWyE39qWM1owkQtDol1tHIOWAqVbwM65t3Jw8p+hQ==" saltValue="Yt6i3H9Oqgpzu+bQSg1e/A==" spinCount="100000" sheet="1" objects="1" scenarios="1"/>
  <mergeCells count="2">
    <mergeCell ref="A3:B4"/>
    <mergeCell ref="C3:C4"/>
  </mergeCells>
  <printOptions gridLines="1"/>
  <pageMargins left="0.25" right="0.25" top="0.75" bottom="0.75" header="0.3" footer="0.3"/>
  <pageSetup paperSize="5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569A955420F499C1999EA955A43C8" ma:contentTypeVersion="13" ma:contentTypeDescription="Create a new document." ma:contentTypeScope="" ma:versionID="b9c5bc539788cb56a05f8335e6b5ce99">
  <xsd:schema xmlns:xsd="http://www.w3.org/2001/XMLSchema" xmlns:xs="http://www.w3.org/2001/XMLSchema" xmlns:p="http://schemas.microsoft.com/office/2006/metadata/properties" xmlns:ns2="531f9aff-d957-492f-8020-810bc8e1b187" xmlns:ns3="e159c9d3-bea2-495c-b9a2-f69d8abe8700" targetNamespace="http://schemas.microsoft.com/office/2006/metadata/properties" ma:root="true" ma:fieldsID="138c363a1e04af05ac2d62d2f6382fc9" ns2:_="" ns3:_="">
    <xsd:import namespace="531f9aff-d957-492f-8020-810bc8e1b187"/>
    <xsd:import namespace="e159c9d3-bea2-495c-b9a2-f69d8abe8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f9aff-d957-492f-8020-810bc8e1b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1f5f294-3556-4111-a21e-1e1423eae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9c9d3-bea2-495c-b9a2-f69d8abe870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292bef0-e8ed-48f2-b3a0-cfbdd8fcf67f}" ma:internalName="TaxCatchAll" ma:showField="CatchAllData" ma:web="e159c9d3-bea2-495c-b9a2-f69d8abe8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59c9d3-bea2-495c-b9a2-f69d8abe8700" xsi:nil="true"/>
    <lcf76f155ced4ddcb4097134ff3c332f xmlns="531f9aff-d957-492f-8020-810bc8e1b1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C67C35-1605-45FC-B4D7-C84AA909A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f9aff-d957-492f-8020-810bc8e1b187"/>
    <ds:schemaRef ds:uri="e159c9d3-bea2-495c-b9a2-f69d8abe8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410F75-3B76-4AF9-817C-C19B85127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56A94-A189-46B5-BB2B-994E7F573761}">
  <ds:schemaRefs>
    <ds:schemaRef ds:uri="http://schemas.microsoft.com/office/2006/metadata/properties"/>
    <ds:schemaRef ds:uri="http://schemas.microsoft.com/office/infopath/2007/PartnerControls"/>
    <ds:schemaRef ds:uri="e159c9d3-bea2-495c-b9a2-f69d8abe8700"/>
    <ds:schemaRef ds:uri="531f9aff-d957-492f-8020-810bc8e1b1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Instruction Guide</vt:lpstr>
      <vt:lpstr>User Input Sheet</vt:lpstr>
      <vt:lpstr>Financial Liabilities</vt:lpstr>
      <vt:lpstr>Arrived Family</vt:lpstr>
      <vt:lpstr>OYW</vt:lpstr>
      <vt:lpstr>Summary Report</vt:lpstr>
      <vt:lpstr>RAP Guidelines</vt:lpstr>
      <vt:lpstr>Budget</vt:lpstr>
      <vt:lpstr>Actuals</vt:lpstr>
      <vt:lpstr>Actual v Budget</vt:lpstr>
      <vt:lpstr>FY Projection</vt:lpstr>
      <vt:lpstr>Variance to RAP Guidelines</vt:lpstr>
      <vt:lpstr>Sheet1</vt:lpstr>
      <vt:lpstr>Variance to IRCC Guidelines </vt:lpstr>
      <vt:lpstr>RAP and Sponsporship Tables</vt:lpstr>
      <vt:lpstr>Sponsorship Table (2)</vt:lpstr>
      <vt:lpstr>'Instruction Guide'!OLE_LINK1</vt:lpstr>
      <vt:lpstr>'Actual v Budget'!Print_Area</vt:lpstr>
      <vt:lpstr>Actuals!Print_Area</vt:lpstr>
      <vt:lpstr>'Arrived Family'!Print_Area</vt:lpstr>
      <vt:lpstr>Budget!Print_Area</vt:lpstr>
      <vt:lpstr>'FY Projection'!Print_Area</vt:lpstr>
      <vt:lpstr>'Instruction Guide'!Print_Area</vt:lpstr>
      <vt:lpstr>OYW!Print_Area</vt:lpstr>
      <vt:lpstr>'RAP Guidelines'!Print_Area</vt:lpstr>
      <vt:lpstr>'Sponsorship Table (2)'!Print_Area</vt:lpstr>
      <vt:lpstr>'User Input Sheet'!Print_Area</vt:lpstr>
      <vt:lpstr>'Variance to IRCC Guidelines '!Print_Area</vt:lpstr>
      <vt:lpstr>'Variance to RAP Guidelines'!Print_Area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Leung, Louise</dc:creator>
  <cp:keywords/>
  <dc:description/>
  <cp:lastModifiedBy>Rawoof, Mays</cp:lastModifiedBy>
  <cp:revision/>
  <dcterms:created xsi:type="dcterms:W3CDTF">2017-05-27T13:22:33Z</dcterms:created>
  <dcterms:modified xsi:type="dcterms:W3CDTF">2025-12-18T22:03:01Z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0x010100F7B569A955420F499C1999EA955A43C8</vt:lpwstr>
  </property>
  <property fmtid="{D5CDD505-2E9C-101B-9397-08002B2CF9AE}" pid="3" name="Order">
    <vt:r8>120600</vt:r8>
  </property>
  <property fmtid="{D5CDD505-2E9C-101B-9397-08002B2CF9AE}" pid="4" name="MediaServiceImageTags">
    <vt:lpwstr/>
  </property>
</Properties>
</file>